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I:\Intranettet\"/>
    </mc:Choice>
  </mc:AlternateContent>
  <workbookProtection workbookPassword="CF28" lockStructure="1"/>
  <bookViews>
    <workbookView xWindow="1140" yWindow="0" windowWidth="16110" windowHeight="12630" tabRatio="869" firstSheet="1" activeTab="1"/>
  </bookViews>
  <sheets>
    <sheet name="Afgang Tilgang" sheetId="1" state="hidden" r:id="rId1"/>
    <sheet name="Ændring af medarbejders løn" sheetId="15" r:id="rId2"/>
    <sheet name="Timeløn" sheetId="18" state="hidden" r:id="rId3"/>
    <sheet name="Udgiftsberegning" sheetId="2" state="hidden" r:id="rId4"/>
    <sheet name="Puljebelastning" sheetId="12" state="hidden" r:id="rId5"/>
    <sheet name="Nyansættelse af medarbejder" sheetId="19" r:id="rId6"/>
    <sheet name="Beregn tillæg" sheetId="17" state="hidden" r:id="rId7"/>
    <sheet name="lønninger" sheetId="4" state="hidden" r:id="rId8"/>
    <sheet name="SEM" sheetId="9" state="hidden" r:id="rId9"/>
    <sheet name="Diverse" sheetId="10" state="hidden" r:id="rId10"/>
    <sheet name="Vejledning" sheetId="5" r:id="rId11"/>
  </sheets>
  <definedNames>
    <definedName name="BeskGradNyLøn" localSheetId="5">'Nyansættelse af medarbejder'!$R$7</definedName>
    <definedName name="BeskGradNyLøn">'Ændring af medarbejders løn'!$R$7</definedName>
    <definedName name="BeskGradNyLøn1">'Ændring af medarbejders løn'!$R$83</definedName>
    <definedName name="BeskGradRåd1">'Afgang Tilgang'!$C$8</definedName>
    <definedName name="BeskGradRåd2">'Afgang Tilgang'!$C$70</definedName>
    <definedName name="BeskGradRåd2Time">Timeløn!$C$10</definedName>
    <definedName name="Dato1">Diverse!$B$2</definedName>
    <definedName name="Dato2">Diverse!$C$2</definedName>
    <definedName name="Dato3">Diverse!$D$2</definedName>
    <definedName name="Dato4">Diverse!$E$2</definedName>
    <definedName name="DatoLønind">Diverse!$B$3</definedName>
    <definedName name="DatoLønInd2">Diverse!$C$3</definedName>
    <definedName name="DatoLønindSund">Diverse!$B$10</definedName>
    <definedName name="DatoLønindSund2">Diverse!$C$10</definedName>
    <definedName name="DatoSund1">Diverse!$B$9</definedName>
    <definedName name="DatoSund2">Diverse!$C$9</definedName>
    <definedName name="DatoSund3">Diverse!$D$9</definedName>
    <definedName name="DatoSund4">Diverse!$E$9</definedName>
    <definedName name="FraTil">SEM!$A$109:$C$115</definedName>
    <definedName name="JNferiepenge">SEM!$A$83:$C$89</definedName>
    <definedName name="JNovergang">SEM!$A$70:$C$76</definedName>
    <definedName name="JNpension" localSheetId="5">SEM!#REF!</definedName>
    <definedName name="JNpension">SEM!#REF!</definedName>
    <definedName name="LønkodeNyLøn" localSheetId="5">'Nyansættelse af medarbejder'!$I$11</definedName>
    <definedName name="LønkodeNyLøn">'Ændring af medarbejders løn'!$I$10</definedName>
    <definedName name="LønkodeRåd1">'Afgang Tilgang'!$C$15</definedName>
    <definedName name="LønkodeRåd2">'Afgang Tilgang'!$C$77</definedName>
    <definedName name="LønkodeRåd2Time">Timeløn!$C$18</definedName>
    <definedName name="LønkodeTillæg">'Beregn tillæg'!$C$11</definedName>
    <definedName name="LønkodeUd">Udgiftsberegning!$D$15</definedName>
    <definedName name="LønPr">Diverse!$C$2</definedName>
    <definedName name="LønPrDato">Diverse!$B$2</definedName>
    <definedName name="LønPrStor">Diverse!$D$2</definedName>
    <definedName name="MaksBeløb">Diverse!$B$15</definedName>
    <definedName name="MaxPensionskodeAfgang">SEM!$D$121</definedName>
    <definedName name="MaxPensionskodeTilgang">SEM!$D$122</definedName>
    <definedName name="MaxPensionskodeTime">SEM!$D$123</definedName>
    <definedName name="MaxProcentForvPulje">SEM!$A$96:$C$102</definedName>
    <definedName name="NævnerNyLøn" localSheetId="5">'Nyansættelse af medarbejder'!#REF!</definedName>
    <definedName name="NævnerNyLøn">'Ændring af medarbejders løn'!#REF!</definedName>
    <definedName name="NævnerRåd1">'Afgang Tilgang'!$C$10</definedName>
    <definedName name="NævnerRåd2">'Afgang Tilgang'!$C$72</definedName>
    <definedName name="NævnerRåd2Time">Timeløn!$C$12</definedName>
    <definedName name="NævnerUd">Udgiftsberegning!$D$14</definedName>
    <definedName name="PctRegNiveau">Diverse!$B$6</definedName>
    <definedName name="PctRegNiveauSund">Diverse!$B$12</definedName>
    <definedName name="PctRegNyLøn" localSheetId="5">'Nyansættelse af medarbejder'!$M$12</definedName>
    <definedName name="PctRegNyLøn">'Ændring af medarbejders løn'!$M$11</definedName>
    <definedName name="PctRegRåd1">'Afgang Tilgang'!$L$15</definedName>
    <definedName name="PctRegRåd2">'Afgang Tilgang'!$L$77</definedName>
    <definedName name="PctregTillæg">'Beregn tillæg'!$L$11</definedName>
    <definedName name="PctRegTime">Timeløn!$L$18</definedName>
    <definedName name="PctRegUd">Udgiftsberegning!$L$15</definedName>
    <definedName name="PctRegUdDato">Udgiftsberegning!$L$16</definedName>
    <definedName name="Pensionsprocentafgang">'Afgang Tilgang'!$C$17</definedName>
    <definedName name="PensionsProcentNyLøn" localSheetId="5">'Nyansættelse af medarbejder'!$I$12</definedName>
    <definedName name="PensionsProcentNyLøn">'Ændring af medarbejders løn'!$I$11</definedName>
    <definedName name="PensionsProcentTilgang">'Afgang Tilgang'!$C$79</definedName>
    <definedName name="PensionsProcentTilgangTime">Timeløn!$C$20</definedName>
    <definedName name="PensionsprocentUdgift">Udgiftsberegning!$D$17</definedName>
    <definedName name="procentregulering">Diverse!$B$5</definedName>
    <definedName name="ProcentreguleringSund">Diverse!$B$11</definedName>
    <definedName name="Puljeår">Diverse!$B$4</definedName>
    <definedName name="StartkolonneAC1">lønninger!$G$6</definedName>
    <definedName name="StartkolonneAC2">lønninger!$J$6</definedName>
    <definedName name="StartkolonneKostfagl" localSheetId="5">lønninger!#REF!</definedName>
    <definedName name="StartkolonneKostfagl">lønninger!#REF!</definedName>
    <definedName name="StartkolonneNyLøn">SEM!$C$39</definedName>
    <definedName name="StartKolonneRåd1">SEM!$C$33</definedName>
    <definedName name="StartKolonneRåd2">SEM!$C$34</definedName>
    <definedName name="StartKolonneRåd2Time">SEM!$C$36</definedName>
    <definedName name="StartkolonneStandard">lønninger!$D$6</definedName>
    <definedName name="StartkolonneSundAlm">lønninger!$N$6</definedName>
    <definedName name="StartkolonneSundLeder">lønninger!$R$6</definedName>
    <definedName name="StartKolonneUdLøn">SEM!$C$38</definedName>
    <definedName name="TabelLøn">lønninger!$A$9:$S$66</definedName>
    <definedName name="TabelLønninger">lønninger!$A$9:$S$66</definedName>
    <definedName name="TabelLøntabel">SEM!$A$5:$D$11</definedName>
    <definedName name="TabelNettoløn">lønninger!$A$9:$D$64</definedName>
    <definedName name="tabeloverenskomstnr">Vejledning!$A$2:$B$49</definedName>
    <definedName name="TabelPctReg">SEM!$A$143:$C$149</definedName>
    <definedName name="TabelPensgivLøn">SEM!$A$17:$E$24</definedName>
    <definedName name="TabelPuljePension">SEM!$B$43:$D$49</definedName>
    <definedName name="TabelRammeforbrug">SEM!$A$130:$C$136</definedName>
    <definedName name="Tabelændringskode">SEM!$A$57:$D$63</definedName>
    <definedName name="TællerNyLøn" localSheetId="5">'Nyansættelse af medarbejder'!$I$7</definedName>
    <definedName name="TællerNyLøn">'Ændring af medarbejders løn'!$I$7</definedName>
    <definedName name="TællerRåd1">'Afgang Tilgang'!$C$9</definedName>
    <definedName name="TællerRåd2">'Afgang Tilgang'!$C$71</definedName>
    <definedName name="TællerRåd2Time">Timeløn!$C$11</definedName>
    <definedName name="TællerUd">Udgiftsberegning!$D$13</definedName>
    <definedName name="_xlnm.Print_Area" localSheetId="0">'Afgang Tilgang'!$A$1:$H$177</definedName>
    <definedName name="_xlnm.Print_Area" localSheetId="5">'Nyansættelse af medarbejder'!$A$1:$AE$67</definedName>
    <definedName name="_xlnm.Print_Area" localSheetId="4">Puljebelastning!$A:$S</definedName>
    <definedName name="_xlnm.Print_Area" localSheetId="2">Timeløn!$A$1:$I$66</definedName>
    <definedName name="_xlnm.Print_Area" localSheetId="1">'Ændring af medarbejders løn'!$A$1:$AE$152</definedName>
    <definedName name="_xlnm.Print_Titles" localSheetId="4">Puljebelastning!$13:$20</definedName>
    <definedName name="UdskrivLinie">Puljebelastning!$AW$18</definedName>
    <definedName name="Z_40555330_83BF_42FA_97D0_8A355A41C0A0_.wvu.Cols" localSheetId="0" hidden="1">'Afgang Tilgang'!$K:$L</definedName>
    <definedName name="Z_40555330_83BF_42FA_97D0_8A355A41C0A0_.wvu.Cols" localSheetId="6" hidden="1">'Beregn tillæg'!$K:$L</definedName>
    <definedName name="Z_40555330_83BF_42FA_97D0_8A355A41C0A0_.wvu.Cols" localSheetId="5" hidden="1">'Nyansættelse af medarbejder'!$P:$Q,'Nyansættelse af medarbejder'!$AF:$CD</definedName>
    <definedName name="Z_40555330_83BF_42FA_97D0_8A355A41C0A0_.wvu.Cols" localSheetId="4" hidden="1">Puljebelastning!$U:$AX</definedName>
    <definedName name="Z_40555330_83BF_42FA_97D0_8A355A41C0A0_.wvu.Cols" localSheetId="2" hidden="1">Timeløn!$K:$M</definedName>
    <definedName name="Z_40555330_83BF_42FA_97D0_8A355A41C0A0_.wvu.Cols" localSheetId="3" hidden="1">Udgiftsberegning!$K:$M</definedName>
    <definedName name="Z_40555330_83BF_42FA_97D0_8A355A41C0A0_.wvu.Cols" localSheetId="1" hidden="1">'Ændring af medarbejders løn'!$P:$P,'Ændring af medarbejders løn'!$R:$R,'Ændring af medarbejders løn'!$AG:$AL</definedName>
    <definedName name="Z_40555330_83BF_42FA_97D0_8A355A41C0A0_.wvu.PrintArea" localSheetId="0" hidden="1">'Afgang Tilgang'!$A$1:$H$177</definedName>
    <definedName name="Z_40555330_83BF_42FA_97D0_8A355A41C0A0_.wvu.PrintArea" localSheetId="5" hidden="1">'Nyansættelse af medarbejder'!$A$1:$AE$67</definedName>
    <definedName name="Z_40555330_83BF_42FA_97D0_8A355A41C0A0_.wvu.PrintArea" localSheetId="4" hidden="1">Puljebelastning!$A:$S</definedName>
    <definedName name="Z_40555330_83BF_42FA_97D0_8A355A41C0A0_.wvu.PrintArea" localSheetId="2" hidden="1">Timeløn!$A$1:$I$66</definedName>
    <definedName name="Z_40555330_83BF_42FA_97D0_8A355A41C0A0_.wvu.PrintArea" localSheetId="1" hidden="1">'Ændring af medarbejders løn'!$A$1:$AE$152</definedName>
    <definedName name="Z_40555330_83BF_42FA_97D0_8A355A41C0A0_.wvu.PrintTitles" localSheetId="4" hidden="1">Puljebelastning!$13:$20</definedName>
    <definedName name="Z_40555330_83BF_42FA_97D0_8A355A41C0A0_.wvu.Rows" localSheetId="1" hidden="1">'Ændring af medarbejders løn'!$85:$85</definedName>
  </definedNames>
  <calcPr calcId="171027"/>
  <customWorkbookViews>
    <customWorkbookView name="Windows User - Privat visning" guid="{40555330-83BF-42FA-97D0-8A355A41C0A0}" mergeInterval="0" personalView="1" maximized="1" windowWidth="1920" windowHeight="854" tabRatio="869" activeSheetId="15"/>
  </customWorkbookViews>
</workbook>
</file>

<file path=xl/calcChain.xml><?xml version="1.0" encoding="utf-8"?>
<calcChain xmlns="http://schemas.openxmlformats.org/spreadsheetml/2006/main">
  <c r="Q25" i="4" l="1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G19" i="4" l="1"/>
  <c r="F19" i="4"/>
  <c r="F18" i="4"/>
  <c r="G18" i="4" s="1"/>
  <c r="L15" i="19" l="1"/>
  <c r="M78" i="19"/>
  <c r="L78" i="19"/>
  <c r="M89" i="15"/>
  <c r="L89" i="15"/>
  <c r="M15" i="19"/>
  <c r="M14" i="15"/>
  <c r="L14" i="15"/>
  <c r="P52" i="19" l="1"/>
  <c r="P135" i="15" l="1"/>
  <c r="P104" i="15"/>
  <c r="P133" i="15"/>
  <c r="P132" i="15"/>
  <c r="P130" i="15"/>
  <c r="P129" i="15"/>
  <c r="P128" i="15"/>
  <c r="P127" i="15"/>
  <c r="P119" i="15"/>
  <c r="P118" i="15"/>
  <c r="P117" i="15"/>
  <c r="P110" i="15"/>
  <c r="P109" i="15"/>
  <c r="P107" i="15"/>
  <c r="P106" i="15"/>
  <c r="P105" i="15"/>
  <c r="P98" i="15"/>
  <c r="P61" i="15"/>
  <c r="P59" i="15"/>
  <c r="P58" i="15"/>
  <c r="P56" i="15"/>
  <c r="P55" i="15"/>
  <c r="P54" i="15"/>
  <c r="P52" i="15"/>
  <c r="P44" i="15"/>
  <c r="P43" i="15"/>
  <c r="P42" i="15"/>
  <c r="P35" i="15"/>
  <c r="P34" i="15"/>
  <c r="P32" i="15"/>
  <c r="P31" i="15"/>
  <c r="P30" i="15"/>
  <c r="P23" i="15"/>
  <c r="P29" i="15"/>
  <c r="P51" i="19"/>
  <c r="P50" i="19"/>
  <c r="P24" i="19" l="1"/>
  <c r="P42" i="19"/>
  <c r="P32" i="19"/>
  <c r="P31" i="19"/>
  <c r="P30" i="19"/>
  <c r="P29" i="19"/>
  <c r="P35" i="19"/>
  <c r="P34" i="19"/>
  <c r="P41" i="19"/>
  <c r="B9" i="10" l="1"/>
  <c r="E9" i="10" s="1"/>
  <c r="J3" i="4"/>
  <c r="J4" i="4" s="1"/>
  <c r="I74" i="19"/>
  <c r="L74" i="19" s="1"/>
  <c r="L111" i="19" s="1"/>
  <c r="M111" i="19" s="1"/>
  <c r="I10" i="15"/>
  <c r="B39" i="9" s="1"/>
  <c r="I85" i="15"/>
  <c r="M85" i="15" s="1"/>
  <c r="I80" i="15"/>
  <c r="T78" i="19"/>
  <c r="T89" i="15"/>
  <c r="I81" i="15"/>
  <c r="I82" i="15"/>
  <c r="AI52" i="19"/>
  <c r="AI49" i="19"/>
  <c r="AI45" i="19"/>
  <c r="AI42" i="19"/>
  <c r="AI41" i="19"/>
  <c r="AI37" i="19"/>
  <c r="AI34" i="19"/>
  <c r="AI31" i="19"/>
  <c r="AI29" i="19"/>
  <c r="AI27" i="19"/>
  <c r="AI26" i="19"/>
  <c r="AI24" i="19"/>
  <c r="AI21" i="19"/>
  <c r="AI18" i="19"/>
  <c r="AI15" i="19"/>
  <c r="AI13" i="19"/>
  <c r="AI11" i="19"/>
  <c r="AI7" i="19"/>
  <c r="AI4" i="19"/>
  <c r="AG52" i="19"/>
  <c r="AG49" i="19"/>
  <c r="AG45" i="19"/>
  <c r="AG42" i="19"/>
  <c r="AG29" i="19"/>
  <c r="AG31" i="19"/>
  <c r="AG41" i="19"/>
  <c r="AG37" i="19"/>
  <c r="AG40" i="19"/>
  <c r="AG39" i="19"/>
  <c r="AG34" i="19"/>
  <c r="AG27" i="19"/>
  <c r="AG26" i="19"/>
  <c r="AG24" i="19"/>
  <c r="AG21" i="19"/>
  <c r="AG18" i="19"/>
  <c r="AG15" i="19"/>
  <c r="AG13" i="19"/>
  <c r="AG11" i="19"/>
  <c r="AG11" i="15"/>
  <c r="AI4" i="15"/>
  <c r="I63" i="15"/>
  <c r="T15" i="19"/>
  <c r="AG39" i="15"/>
  <c r="AG37" i="15"/>
  <c r="AG34" i="15"/>
  <c r="AG32" i="15"/>
  <c r="AG30" i="15"/>
  <c r="AG28" i="15"/>
  <c r="AG26" i="15"/>
  <c r="AG24" i="15"/>
  <c r="AI7" i="15"/>
  <c r="AI58" i="15"/>
  <c r="AI63" i="15"/>
  <c r="AI55" i="15"/>
  <c r="AI52" i="15"/>
  <c r="AI48" i="15"/>
  <c r="AI43" i="15"/>
  <c r="AI41" i="15"/>
  <c r="AI39" i="15"/>
  <c r="AI37" i="15"/>
  <c r="AI34" i="15"/>
  <c r="AI32" i="15"/>
  <c r="AI30" i="15"/>
  <c r="AG63" i="15"/>
  <c r="AG58" i="15"/>
  <c r="AG55" i="15"/>
  <c r="AG52" i="15"/>
  <c r="AG48" i="15"/>
  <c r="AG43" i="15"/>
  <c r="AG41" i="15"/>
  <c r="AI28" i="15"/>
  <c r="AI26" i="15"/>
  <c r="AI24" i="15"/>
  <c r="AI22" i="15"/>
  <c r="AG22" i="15"/>
  <c r="AG19" i="15"/>
  <c r="AG17" i="15"/>
  <c r="AI19" i="15"/>
  <c r="AI17" i="15"/>
  <c r="AG15" i="15"/>
  <c r="AG13" i="15"/>
  <c r="AI15" i="15"/>
  <c r="AI13" i="15"/>
  <c r="AI11" i="15"/>
  <c r="T14" i="15"/>
  <c r="I11" i="19"/>
  <c r="M11" i="19" s="1"/>
  <c r="H3" i="4"/>
  <c r="H4" i="4" s="1"/>
  <c r="F15" i="4" s="1"/>
  <c r="G15" i="4" s="1"/>
  <c r="J126" i="19"/>
  <c r="I126" i="19"/>
  <c r="R73" i="19"/>
  <c r="J54" i="19"/>
  <c r="I54" i="19"/>
  <c r="R7" i="19"/>
  <c r="J137" i="15"/>
  <c r="I137" i="15"/>
  <c r="R83" i="15"/>
  <c r="R7" i="15"/>
  <c r="C41" i="1"/>
  <c r="K42" i="1"/>
  <c r="Q8" i="12"/>
  <c r="D62" i="4"/>
  <c r="D54" i="4"/>
  <c r="D46" i="4"/>
  <c r="D38" i="4"/>
  <c r="D30" i="4"/>
  <c r="D22" i="4"/>
  <c r="D14" i="4"/>
  <c r="C8" i="1"/>
  <c r="D13" i="1"/>
  <c r="B15" i="1"/>
  <c r="E21" i="1"/>
  <c r="F21" i="1"/>
  <c r="B39" i="1"/>
  <c r="D41" i="1"/>
  <c r="D44" i="1" s="1"/>
  <c r="C69" i="1"/>
  <c r="C70" i="1"/>
  <c r="C73" i="1"/>
  <c r="C74" i="1"/>
  <c r="D75" i="1"/>
  <c r="B77" i="1"/>
  <c r="E85" i="1"/>
  <c r="F85" i="1"/>
  <c r="C102" i="1"/>
  <c r="C104" i="1" s="1"/>
  <c r="C46" i="1" s="1"/>
  <c r="D102" i="1"/>
  <c r="D104" i="1" s="1"/>
  <c r="D46" i="1" s="1"/>
  <c r="B127" i="1"/>
  <c r="C134" i="1"/>
  <c r="C177" i="1" s="1"/>
  <c r="D134" i="1"/>
  <c r="D177" i="1"/>
  <c r="C2" i="10"/>
  <c r="C11" i="10" s="1"/>
  <c r="E2" i="10"/>
  <c r="B48" i="2" s="1"/>
  <c r="C9" i="10"/>
  <c r="D9" i="10" s="1"/>
  <c r="D6" i="4"/>
  <c r="G6" i="4"/>
  <c r="N6" i="4"/>
  <c r="B8" i="9" s="1"/>
  <c r="R6" i="4"/>
  <c r="B9" i="9" s="1"/>
  <c r="B10" i="9"/>
  <c r="D10" i="4"/>
  <c r="R10" i="4"/>
  <c r="D11" i="4"/>
  <c r="R11" i="4"/>
  <c r="D12" i="4"/>
  <c r="R12" i="4"/>
  <c r="D13" i="4"/>
  <c r="R13" i="4"/>
  <c r="R14" i="4"/>
  <c r="D15" i="4"/>
  <c r="R15" i="4"/>
  <c r="D16" i="4"/>
  <c r="R16" i="4"/>
  <c r="D17" i="4"/>
  <c r="R17" i="4"/>
  <c r="D18" i="4"/>
  <c r="R18" i="4"/>
  <c r="D19" i="4"/>
  <c r="R19" i="4"/>
  <c r="D20" i="4"/>
  <c r="N20" i="4"/>
  <c r="R20" i="4"/>
  <c r="D21" i="4"/>
  <c r="N21" i="4"/>
  <c r="R21" i="4"/>
  <c r="N22" i="4"/>
  <c r="R22" i="4"/>
  <c r="D23" i="4"/>
  <c r="N23" i="4"/>
  <c r="R23" i="4"/>
  <c r="D24" i="4"/>
  <c r="N24" i="4"/>
  <c r="R24" i="4"/>
  <c r="D25" i="4"/>
  <c r="N25" i="4"/>
  <c r="R25" i="4"/>
  <c r="D26" i="4"/>
  <c r="N26" i="4"/>
  <c r="R26" i="4"/>
  <c r="D27" i="4"/>
  <c r="N27" i="4"/>
  <c r="R27" i="4"/>
  <c r="D28" i="4"/>
  <c r="N28" i="4"/>
  <c r="R28" i="4"/>
  <c r="D29" i="4"/>
  <c r="N29" i="4"/>
  <c r="R29" i="4"/>
  <c r="N30" i="4"/>
  <c r="R30" i="4"/>
  <c r="D31" i="4"/>
  <c r="N31" i="4"/>
  <c r="R31" i="4"/>
  <c r="D32" i="4"/>
  <c r="N32" i="4"/>
  <c r="R32" i="4"/>
  <c r="D33" i="4"/>
  <c r="N33" i="4"/>
  <c r="R33" i="4"/>
  <c r="D34" i="4"/>
  <c r="N34" i="4"/>
  <c r="R34" i="4"/>
  <c r="D35" i="4"/>
  <c r="N35" i="4"/>
  <c r="R35" i="4"/>
  <c r="D36" i="4"/>
  <c r="N36" i="4"/>
  <c r="R36" i="4"/>
  <c r="D37" i="4"/>
  <c r="N37" i="4"/>
  <c r="R37" i="4"/>
  <c r="N38" i="4"/>
  <c r="R38" i="4"/>
  <c r="D39" i="4"/>
  <c r="N39" i="4"/>
  <c r="R39" i="4"/>
  <c r="D40" i="4"/>
  <c r="N40" i="4"/>
  <c r="R40" i="4"/>
  <c r="D41" i="4"/>
  <c r="N41" i="4"/>
  <c r="R41" i="4"/>
  <c r="D42" i="4"/>
  <c r="N42" i="4"/>
  <c r="R42" i="4"/>
  <c r="D43" i="4"/>
  <c r="N43" i="4"/>
  <c r="R43" i="4"/>
  <c r="D44" i="4"/>
  <c r="N44" i="4"/>
  <c r="R44" i="4"/>
  <c r="D45" i="4"/>
  <c r="N45" i="4"/>
  <c r="R45" i="4"/>
  <c r="N46" i="4"/>
  <c r="R46" i="4"/>
  <c r="D47" i="4"/>
  <c r="N47" i="4"/>
  <c r="R47" i="4"/>
  <c r="D48" i="4"/>
  <c r="N48" i="4"/>
  <c r="R48" i="4"/>
  <c r="D49" i="4"/>
  <c r="N49" i="4"/>
  <c r="R49" i="4"/>
  <c r="D50" i="4"/>
  <c r="N50" i="4"/>
  <c r="R50" i="4"/>
  <c r="D51" i="4"/>
  <c r="N51" i="4"/>
  <c r="R51" i="4"/>
  <c r="D52" i="4"/>
  <c r="N52" i="4"/>
  <c r="R52" i="4"/>
  <c r="D53" i="4"/>
  <c r="N53" i="4"/>
  <c r="R53" i="4"/>
  <c r="N54" i="4"/>
  <c r="R54" i="4"/>
  <c r="D55" i="4"/>
  <c r="N55" i="4"/>
  <c r="R55" i="4"/>
  <c r="D56" i="4"/>
  <c r="N56" i="4"/>
  <c r="R56" i="4"/>
  <c r="D57" i="4"/>
  <c r="N57" i="4"/>
  <c r="R57" i="4"/>
  <c r="D58" i="4"/>
  <c r="N58" i="4"/>
  <c r="R58" i="4"/>
  <c r="D59" i="4"/>
  <c r="N59" i="4"/>
  <c r="R59" i="4"/>
  <c r="D60" i="4"/>
  <c r="N60" i="4"/>
  <c r="R60" i="4"/>
  <c r="D61" i="4"/>
  <c r="N61" i="4"/>
  <c r="R61" i="4"/>
  <c r="N62" i="4"/>
  <c r="R62" i="4"/>
  <c r="D63" i="4"/>
  <c r="N63" i="4"/>
  <c r="R63" i="4"/>
  <c r="D64" i="4"/>
  <c r="N64" i="4"/>
  <c r="R64" i="4"/>
  <c r="D65" i="4"/>
  <c r="N65" i="4"/>
  <c r="R65" i="4"/>
  <c r="J63" i="15"/>
  <c r="A1" i="12"/>
  <c r="R1" i="12"/>
  <c r="Q5" i="12"/>
  <c r="R5" i="12"/>
  <c r="S5" i="12"/>
  <c r="R8" i="12"/>
  <c r="S8" i="12"/>
  <c r="N14" i="12"/>
  <c r="O14" i="12"/>
  <c r="P14" i="12"/>
  <c r="Q15" i="12"/>
  <c r="AS18" i="12" s="1"/>
  <c r="R15" i="12"/>
  <c r="AT18" i="12" s="1"/>
  <c r="S15" i="12"/>
  <c r="AU18" i="12" s="1"/>
  <c r="D21" i="12"/>
  <c r="V21" i="12"/>
  <c r="W21" i="12"/>
  <c r="X21" i="12"/>
  <c r="AW21" i="12"/>
  <c r="D22" i="12"/>
  <c r="U22" i="12"/>
  <c r="V22" i="12"/>
  <c r="W22" i="12"/>
  <c r="X22" i="12"/>
  <c r="AP22" i="12" s="1"/>
  <c r="AQ22" i="12"/>
  <c r="AW22" i="12"/>
  <c r="D23" i="12"/>
  <c r="V23" i="12"/>
  <c r="W23" i="12"/>
  <c r="X23" i="12"/>
  <c r="AW23" i="12"/>
  <c r="D24" i="12"/>
  <c r="U24" i="12"/>
  <c r="V24" i="12"/>
  <c r="W24" i="12"/>
  <c r="X24" i="12"/>
  <c r="AP24" i="12" s="1"/>
  <c r="AQ24" i="12"/>
  <c r="AW24" i="12"/>
  <c r="D25" i="12"/>
  <c r="V25" i="12"/>
  <c r="W25" i="12"/>
  <c r="X25" i="12"/>
  <c r="AW25" i="12"/>
  <c r="D26" i="12"/>
  <c r="U26" i="12"/>
  <c r="V26" i="12"/>
  <c r="W26" i="12"/>
  <c r="X26" i="12"/>
  <c r="AP26" i="12" s="1"/>
  <c r="AQ26" i="12"/>
  <c r="AW26" i="12"/>
  <c r="D27" i="12"/>
  <c r="V27" i="12"/>
  <c r="W27" i="12"/>
  <c r="X27" i="12"/>
  <c r="AW27" i="12"/>
  <c r="D28" i="12"/>
  <c r="U28" i="12"/>
  <c r="V28" i="12"/>
  <c r="W28" i="12"/>
  <c r="X28" i="12"/>
  <c r="AP28" i="12" s="1"/>
  <c r="AQ28" i="12"/>
  <c r="AW28" i="12"/>
  <c r="D29" i="12"/>
  <c r="V29" i="12"/>
  <c r="W29" i="12"/>
  <c r="X29" i="12"/>
  <c r="AW29" i="12"/>
  <c r="D30" i="12"/>
  <c r="U30" i="12"/>
  <c r="V30" i="12"/>
  <c r="W30" i="12"/>
  <c r="X30" i="12"/>
  <c r="AP30" i="12" s="1"/>
  <c r="AQ30" i="12"/>
  <c r="AW30" i="12"/>
  <c r="D31" i="12"/>
  <c r="V31" i="12"/>
  <c r="W31" i="12"/>
  <c r="X31" i="12"/>
  <c r="AW31" i="12"/>
  <c r="D32" i="12"/>
  <c r="U32" i="12"/>
  <c r="V32" i="12"/>
  <c r="W32" i="12"/>
  <c r="X32" i="12"/>
  <c r="AP32" i="12" s="1"/>
  <c r="AQ32" i="12"/>
  <c r="AW32" i="12"/>
  <c r="D33" i="12"/>
  <c r="V33" i="12"/>
  <c r="W33" i="12"/>
  <c r="X33" i="12"/>
  <c r="AW33" i="12"/>
  <c r="D34" i="12"/>
  <c r="U34" i="12"/>
  <c r="V34" i="12"/>
  <c r="W34" i="12"/>
  <c r="X34" i="12"/>
  <c r="AP34" i="12" s="1"/>
  <c r="AQ34" i="12"/>
  <c r="AW34" i="12"/>
  <c r="D35" i="12"/>
  <c r="V35" i="12"/>
  <c r="W35" i="12"/>
  <c r="X35" i="12"/>
  <c r="AW35" i="12"/>
  <c r="D36" i="12"/>
  <c r="U36" i="12"/>
  <c r="V36" i="12"/>
  <c r="W36" i="12"/>
  <c r="X36" i="12"/>
  <c r="AP36" i="12" s="1"/>
  <c r="AQ36" i="12"/>
  <c r="AW36" i="12"/>
  <c r="D37" i="12"/>
  <c r="V37" i="12"/>
  <c r="W37" i="12"/>
  <c r="X37" i="12"/>
  <c r="AW37" i="12"/>
  <c r="D38" i="12"/>
  <c r="U38" i="12"/>
  <c r="V38" i="12"/>
  <c r="W38" i="12"/>
  <c r="X38" i="12"/>
  <c r="AP38" i="12" s="1"/>
  <c r="AQ38" i="12"/>
  <c r="AW38" i="12"/>
  <c r="D39" i="12"/>
  <c r="V39" i="12"/>
  <c r="W39" i="12"/>
  <c r="X39" i="12"/>
  <c r="AW39" i="12"/>
  <c r="D40" i="12"/>
  <c r="U40" i="12"/>
  <c r="V40" i="12"/>
  <c r="W40" i="12"/>
  <c r="X40" i="12"/>
  <c r="AP40" i="12" s="1"/>
  <c r="AQ40" i="12"/>
  <c r="AW40" i="12"/>
  <c r="D41" i="12"/>
  <c r="V41" i="12"/>
  <c r="W41" i="12"/>
  <c r="X41" i="12"/>
  <c r="AW41" i="12"/>
  <c r="D42" i="12"/>
  <c r="U42" i="12"/>
  <c r="V42" i="12"/>
  <c r="W42" i="12"/>
  <c r="X42" i="12"/>
  <c r="AP42" i="12" s="1"/>
  <c r="AQ42" i="12"/>
  <c r="AW42" i="12"/>
  <c r="D43" i="12"/>
  <c r="V43" i="12"/>
  <c r="W43" i="12"/>
  <c r="X43" i="12"/>
  <c r="AW43" i="12"/>
  <c r="D44" i="12"/>
  <c r="U44" i="12"/>
  <c r="V44" i="12"/>
  <c r="W44" i="12"/>
  <c r="X44" i="12"/>
  <c r="AP44" i="12" s="1"/>
  <c r="AQ44" i="12"/>
  <c r="AW44" i="12"/>
  <c r="D45" i="12"/>
  <c r="V45" i="12"/>
  <c r="W45" i="12"/>
  <c r="X45" i="12"/>
  <c r="AW45" i="12"/>
  <c r="D46" i="12"/>
  <c r="U46" i="12"/>
  <c r="V46" i="12"/>
  <c r="W46" i="12"/>
  <c r="X46" i="12"/>
  <c r="AP46" i="12" s="1"/>
  <c r="AQ46" i="12"/>
  <c r="AW46" i="12"/>
  <c r="D47" i="12"/>
  <c r="V47" i="12"/>
  <c r="W47" i="12"/>
  <c r="X47" i="12"/>
  <c r="AW47" i="12"/>
  <c r="D48" i="12"/>
  <c r="U48" i="12"/>
  <c r="V48" i="12"/>
  <c r="W48" i="12"/>
  <c r="X48" i="12"/>
  <c r="AP48" i="12" s="1"/>
  <c r="AQ48" i="12"/>
  <c r="AW48" i="12"/>
  <c r="D49" i="12"/>
  <c r="V49" i="12"/>
  <c r="W49" i="12"/>
  <c r="X49" i="12"/>
  <c r="AW49" i="12"/>
  <c r="D50" i="12"/>
  <c r="U50" i="12"/>
  <c r="V50" i="12"/>
  <c r="W50" i="12"/>
  <c r="X50" i="12"/>
  <c r="AP50" i="12" s="1"/>
  <c r="AQ50" i="12"/>
  <c r="AW50" i="12"/>
  <c r="D51" i="12"/>
  <c r="V51" i="12"/>
  <c r="W51" i="12"/>
  <c r="X51" i="12"/>
  <c r="AW51" i="12"/>
  <c r="D52" i="12"/>
  <c r="U52" i="12"/>
  <c r="V52" i="12"/>
  <c r="W52" i="12"/>
  <c r="X52" i="12"/>
  <c r="AP52" i="12" s="1"/>
  <c r="AQ52" i="12"/>
  <c r="AW52" i="12"/>
  <c r="D53" i="12"/>
  <c r="V53" i="12"/>
  <c r="W53" i="12"/>
  <c r="X53" i="12"/>
  <c r="AW53" i="12"/>
  <c r="D54" i="12"/>
  <c r="U54" i="12"/>
  <c r="V54" i="12"/>
  <c r="W54" i="12"/>
  <c r="X54" i="12"/>
  <c r="AP54" i="12" s="1"/>
  <c r="AQ54" i="12"/>
  <c r="AW54" i="12"/>
  <c r="D55" i="12"/>
  <c r="V55" i="12"/>
  <c r="W55" i="12"/>
  <c r="X55" i="12"/>
  <c r="AW55" i="12"/>
  <c r="D56" i="12"/>
  <c r="U56" i="12"/>
  <c r="V56" i="12"/>
  <c r="W56" i="12"/>
  <c r="X56" i="12"/>
  <c r="AP56" i="12" s="1"/>
  <c r="AQ56" i="12"/>
  <c r="AW56" i="12"/>
  <c r="D57" i="12"/>
  <c r="V57" i="12"/>
  <c r="W57" i="12"/>
  <c r="X57" i="12"/>
  <c r="AW57" i="12"/>
  <c r="D58" i="12"/>
  <c r="U58" i="12"/>
  <c r="V58" i="12"/>
  <c r="W58" i="12"/>
  <c r="X58" i="12"/>
  <c r="AP58" i="12" s="1"/>
  <c r="AQ58" i="12"/>
  <c r="AW58" i="12"/>
  <c r="D59" i="12"/>
  <c r="V59" i="12"/>
  <c r="W59" i="12"/>
  <c r="X59" i="12"/>
  <c r="AW59" i="12"/>
  <c r="D60" i="12"/>
  <c r="U60" i="12"/>
  <c r="V60" i="12"/>
  <c r="W60" i="12"/>
  <c r="X60" i="12"/>
  <c r="AP60" i="12" s="1"/>
  <c r="AQ60" i="12"/>
  <c r="AW60" i="12"/>
  <c r="D61" i="12"/>
  <c r="V61" i="12"/>
  <c r="W61" i="12"/>
  <c r="X61" i="12"/>
  <c r="AW61" i="12"/>
  <c r="D62" i="12"/>
  <c r="U62" i="12"/>
  <c r="V62" i="12"/>
  <c r="W62" i="12"/>
  <c r="X62" i="12"/>
  <c r="AP62" i="12" s="1"/>
  <c r="AQ62" i="12"/>
  <c r="AW62" i="12"/>
  <c r="D63" i="12"/>
  <c r="V63" i="12"/>
  <c r="W63" i="12"/>
  <c r="X63" i="12"/>
  <c r="AW63" i="12"/>
  <c r="D64" i="12"/>
  <c r="U64" i="12"/>
  <c r="V64" i="12"/>
  <c r="W64" i="12"/>
  <c r="X64" i="12"/>
  <c r="AP64" i="12" s="1"/>
  <c r="AQ64" i="12"/>
  <c r="AW64" i="12"/>
  <c r="D65" i="12"/>
  <c r="V65" i="12"/>
  <c r="W65" i="12"/>
  <c r="X65" i="12"/>
  <c r="AW65" i="12"/>
  <c r="D66" i="12"/>
  <c r="U66" i="12"/>
  <c r="V66" i="12"/>
  <c r="W66" i="12"/>
  <c r="X66" i="12"/>
  <c r="AP66" i="12" s="1"/>
  <c r="AQ66" i="12"/>
  <c r="AW66" i="12"/>
  <c r="D67" i="12"/>
  <c r="V67" i="12"/>
  <c r="W67" i="12"/>
  <c r="X67" i="12"/>
  <c r="AW67" i="12"/>
  <c r="D68" i="12"/>
  <c r="U68" i="12"/>
  <c r="V68" i="12"/>
  <c r="W68" i="12"/>
  <c r="X68" i="12"/>
  <c r="AP68" i="12" s="1"/>
  <c r="AQ68" i="12"/>
  <c r="AW68" i="12"/>
  <c r="D69" i="12"/>
  <c r="V69" i="12"/>
  <c r="W69" i="12"/>
  <c r="X69" i="12"/>
  <c r="AW69" i="12"/>
  <c r="D70" i="12"/>
  <c r="U70" i="12"/>
  <c r="V70" i="12"/>
  <c r="W70" i="12"/>
  <c r="X70" i="12"/>
  <c r="AP70" i="12" s="1"/>
  <c r="AQ70" i="12"/>
  <c r="AW70" i="12"/>
  <c r="D71" i="12"/>
  <c r="V71" i="12"/>
  <c r="W71" i="12"/>
  <c r="X71" i="12"/>
  <c r="AW71" i="12"/>
  <c r="D72" i="12"/>
  <c r="U72" i="12"/>
  <c r="V72" i="12"/>
  <c r="W72" i="12"/>
  <c r="X72" i="12"/>
  <c r="AP72" i="12"/>
  <c r="AQ72" i="12"/>
  <c r="AW72" i="12"/>
  <c r="D73" i="12"/>
  <c r="V73" i="12"/>
  <c r="W73" i="12"/>
  <c r="X73" i="12"/>
  <c r="AW73" i="12"/>
  <c r="D74" i="12"/>
  <c r="U74" i="12"/>
  <c r="V74" i="12"/>
  <c r="W74" i="12"/>
  <c r="X74" i="12"/>
  <c r="AP74" i="12" s="1"/>
  <c r="AQ74" i="12"/>
  <c r="AW74" i="12"/>
  <c r="D75" i="12"/>
  <c r="V75" i="12"/>
  <c r="W75" i="12"/>
  <c r="X75" i="12"/>
  <c r="AW75" i="12"/>
  <c r="D76" i="12"/>
  <c r="U76" i="12"/>
  <c r="V76" i="12"/>
  <c r="W76" i="12"/>
  <c r="X76" i="12"/>
  <c r="AP76" i="12"/>
  <c r="AQ76" i="12"/>
  <c r="AW76" i="12"/>
  <c r="D77" i="12"/>
  <c r="V77" i="12"/>
  <c r="W77" i="12"/>
  <c r="X77" i="12"/>
  <c r="AW77" i="12"/>
  <c r="D78" i="12"/>
  <c r="U78" i="12"/>
  <c r="V78" i="12"/>
  <c r="W78" i="12"/>
  <c r="X78" i="12"/>
  <c r="AP78" i="12" s="1"/>
  <c r="AQ78" i="12"/>
  <c r="AW78" i="12"/>
  <c r="D79" i="12"/>
  <c r="V79" i="12"/>
  <c r="W79" i="12"/>
  <c r="X79" i="12"/>
  <c r="AW79" i="12"/>
  <c r="D80" i="12"/>
  <c r="U80" i="12"/>
  <c r="V80" i="12"/>
  <c r="W80" i="12"/>
  <c r="X80" i="12"/>
  <c r="AP80" i="12" s="1"/>
  <c r="AQ80" i="12"/>
  <c r="AW80" i="12"/>
  <c r="D81" i="12"/>
  <c r="V81" i="12"/>
  <c r="W81" i="12"/>
  <c r="X81" i="12"/>
  <c r="AW81" i="12"/>
  <c r="D82" i="12"/>
  <c r="U82" i="12"/>
  <c r="V82" i="12"/>
  <c r="W82" i="12"/>
  <c r="X82" i="12"/>
  <c r="AP82" i="12" s="1"/>
  <c r="AQ82" i="12"/>
  <c r="AW82" i="12"/>
  <c r="D83" i="12"/>
  <c r="V83" i="12"/>
  <c r="W83" i="12"/>
  <c r="X83" i="12"/>
  <c r="AW83" i="12"/>
  <c r="D84" i="12"/>
  <c r="U84" i="12"/>
  <c r="V84" i="12"/>
  <c r="W84" i="12"/>
  <c r="X84" i="12"/>
  <c r="AP84" i="12" s="1"/>
  <c r="AQ84" i="12"/>
  <c r="AW84" i="12"/>
  <c r="D85" i="12"/>
  <c r="V85" i="12"/>
  <c r="W85" i="12"/>
  <c r="X85" i="12"/>
  <c r="AW85" i="12"/>
  <c r="D86" i="12"/>
  <c r="U86" i="12"/>
  <c r="V86" i="12"/>
  <c r="W86" i="12"/>
  <c r="X86" i="12"/>
  <c r="AP86" i="12" s="1"/>
  <c r="AQ86" i="12"/>
  <c r="AW86" i="12"/>
  <c r="D87" i="12"/>
  <c r="V87" i="12"/>
  <c r="W87" i="12"/>
  <c r="X87" i="12"/>
  <c r="AW87" i="12"/>
  <c r="D88" i="12"/>
  <c r="U88" i="12"/>
  <c r="V88" i="12"/>
  <c r="W88" i="12"/>
  <c r="X88" i="12"/>
  <c r="AP88" i="12" s="1"/>
  <c r="AQ88" i="12"/>
  <c r="AW88" i="12"/>
  <c r="D89" i="12"/>
  <c r="V89" i="12"/>
  <c r="W89" i="12"/>
  <c r="X89" i="12"/>
  <c r="AW89" i="12"/>
  <c r="D90" i="12"/>
  <c r="U90" i="12"/>
  <c r="V90" i="12"/>
  <c r="W90" i="12"/>
  <c r="X90" i="12"/>
  <c r="AP90" i="12" s="1"/>
  <c r="AQ90" i="12"/>
  <c r="AW90" i="12"/>
  <c r="D91" i="12"/>
  <c r="V91" i="12"/>
  <c r="W91" i="12"/>
  <c r="X91" i="12"/>
  <c r="AW91" i="12"/>
  <c r="D92" i="12"/>
  <c r="U92" i="12"/>
  <c r="V92" i="12"/>
  <c r="W92" i="12"/>
  <c r="X92" i="12"/>
  <c r="AP92" i="12" s="1"/>
  <c r="AQ92" i="12"/>
  <c r="AW92" i="12"/>
  <c r="D93" i="12"/>
  <c r="V93" i="12"/>
  <c r="W93" i="12"/>
  <c r="X93" i="12"/>
  <c r="AW93" i="12"/>
  <c r="D94" i="12"/>
  <c r="U94" i="12"/>
  <c r="V94" i="12"/>
  <c r="W94" i="12"/>
  <c r="X94" i="12"/>
  <c r="AP94" i="12" s="1"/>
  <c r="AQ94" i="12"/>
  <c r="AW94" i="12"/>
  <c r="D95" i="12"/>
  <c r="V95" i="12"/>
  <c r="W95" i="12"/>
  <c r="X95" i="12"/>
  <c r="AW95" i="12"/>
  <c r="D96" i="12"/>
  <c r="U96" i="12"/>
  <c r="V96" i="12"/>
  <c r="W96" i="12"/>
  <c r="X96" i="12"/>
  <c r="AP96" i="12" s="1"/>
  <c r="AQ96" i="12"/>
  <c r="AW96" i="12"/>
  <c r="D97" i="12"/>
  <c r="V97" i="12"/>
  <c r="W97" i="12"/>
  <c r="X97" i="12"/>
  <c r="AW97" i="12"/>
  <c r="D98" i="12"/>
  <c r="U98" i="12"/>
  <c r="V98" i="12"/>
  <c r="W98" i="12"/>
  <c r="X98" i="12"/>
  <c r="AP98" i="12" s="1"/>
  <c r="AQ98" i="12"/>
  <c r="AW98" i="12"/>
  <c r="D99" i="12"/>
  <c r="V99" i="12"/>
  <c r="W99" i="12"/>
  <c r="X99" i="12"/>
  <c r="AW99" i="12"/>
  <c r="D100" i="12"/>
  <c r="U100" i="12"/>
  <c r="V100" i="12"/>
  <c r="W100" i="12"/>
  <c r="X100" i="12"/>
  <c r="AP100" i="12" s="1"/>
  <c r="AQ100" i="12"/>
  <c r="AW100" i="12"/>
  <c r="D101" i="12"/>
  <c r="V101" i="12"/>
  <c r="W101" i="12"/>
  <c r="X101" i="12"/>
  <c r="AW101" i="12"/>
  <c r="D102" i="12"/>
  <c r="U102" i="12"/>
  <c r="V102" i="12"/>
  <c r="W102" i="12"/>
  <c r="X102" i="12"/>
  <c r="AP102" i="12" s="1"/>
  <c r="AQ102" i="12"/>
  <c r="AW102" i="12"/>
  <c r="D103" i="12"/>
  <c r="V103" i="12"/>
  <c r="W103" i="12"/>
  <c r="X103" i="12"/>
  <c r="AW103" i="12"/>
  <c r="D104" i="12"/>
  <c r="U104" i="12"/>
  <c r="V104" i="12"/>
  <c r="W104" i="12"/>
  <c r="X104" i="12"/>
  <c r="AP104" i="12" s="1"/>
  <c r="AQ104" i="12"/>
  <c r="AW104" i="12"/>
  <c r="D105" i="12"/>
  <c r="V105" i="12"/>
  <c r="W105" i="12"/>
  <c r="X105" i="12"/>
  <c r="AW105" i="12"/>
  <c r="D106" i="12"/>
  <c r="U106" i="12"/>
  <c r="V106" i="12"/>
  <c r="W106" i="12"/>
  <c r="X106" i="12"/>
  <c r="AP106" i="12" s="1"/>
  <c r="AQ106" i="12"/>
  <c r="AW106" i="12"/>
  <c r="D107" i="12"/>
  <c r="V107" i="12"/>
  <c r="W107" i="12"/>
  <c r="X107" i="12"/>
  <c r="AW107" i="12"/>
  <c r="D108" i="12"/>
  <c r="U108" i="12"/>
  <c r="V108" i="12"/>
  <c r="W108" i="12"/>
  <c r="X108" i="12"/>
  <c r="AP108" i="12" s="1"/>
  <c r="AQ108" i="12"/>
  <c r="AW108" i="12"/>
  <c r="D109" i="12"/>
  <c r="V109" i="12"/>
  <c r="W109" i="12"/>
  <c r="X109" i="12"/>
  <c r="AW109" i="12"/>
  <c r="D110" i="12"/>
  <c r="U110" i="12"/>
  <c r="V110" i="12"/>
  <c r="W110" i="12"/>
  <c r="X110" i="12"/>
  <c r="AP110" i="12" s="1"/>
  <c r="AQ110" i="12"/>
  <c r="AW110" i="12"/>
  <c r="D111" i="12"/>
  <c r="V111" i="12"/>
  <c r="W111" i="12"/>
  <c r="X111" i="12"/>
  <c r="AW111" i="12"/>
  <c r="D112" i="12"/>
  <c r="U112" i="12"/>
  <c r="V112" i="12"/>
  <c r="W112" i="12"/>
  <c r="X112" i="12"/>
  <c r="AP112" i="12" s="1"/>
  <c r="AQ112" i="12"/>
  <c r="AW112" i="12"/>
  <c r="D113" i="12"/>
  <c r="V113" i="12"/>
  <c r="W113" i="12"/>
  <c r="X113" i="12"/>
  <c r="AW113" i="12"/>
  <c r="D114" i="12"/>
  <c r="U114" i="12"/>
  <c r="V114" i="12"/>
  <c r="W114" i="12"/>
  <c r="X114" i="12"/>
  <c r="AP114" i="12" s="1"/>
  <c r="AQ114" i="12"/>
  <c r="AW114" i="12"/>
  <c r="D115" i="12"/>
  <c r="V115" i="12"/>
  <c r="W115" i="12"/>
  <c r="X115" i="12"/>
  <c r="AW115" i="12"/>
  <c r="D116" i="12"/>
  <c r="U116" i="12"/>
  <c r="V116" i="12"/>
  <c r="W116" i="12"/>
  <c r="X116" i="12"/>
  <c r="AP116" i="12" s="1"/>
  <c r="AQ116" i="12"/>
  <c r="AW116" i="12"/>
  <c r="D117" i="12"/>
  <c r="V117" i="12"/>
  <c r="W117" i="12"/>
  <c r="X117" i="12"/>
  <c r="AW117" i="12"/>
  <c r="D118" i="12"/>
  <c r="U118" i="12"/>
  <c r="V118" i="12"/>
  <c r="W118" i="12"/>
  <c r="X118" i="12"/>
  <c r="AP118" i="12" s="1"/>
  <c r="AQ118" i="12"/>
  <c r="AW118" i="12"/>
  <c r="D119" i="12"/>
  <c r="V119" i="12"/>
  <c r="W119" i="12"/>
  <c r="X119" i="12"/>
  <c r="AW119" i="12"/>
  <c r="D120" i="12"/>
  <c r="U120" i="12"/>
  <c r="V120" i="12"/>
  <c r="W120" i="12"/>
  <c r="X120" i="12"/>
  <c r="AP120" i="12" s="1"/>
  <c r="AQ120" i="12"/>
  <c r="AW120" i="12"/>
  <c r="D121" i="12"/>
  <c r="V121" i="12"/>
  <c r="W121" i="12"/>
  <c r="X121" i="12"/>
  <c r="AW121" i="12"/>
  <c r="D122" i="12"/>
  <c r="U122" i="12"/>
  <c r="V122" i="12"/>
  <c r="W122" i="12"/>
  <c r="X122" i="12"/>
  <c r="AP122" i="12" s="1"/>
  <c r="AQ122" i="12"/>
  <c r="AW122" i="12"/>
  <c r="D123" i="12"/>
  <c r="V123" i="12"/>
  <c r="W123" i="12"/>
  <c r="X123" i="12"/>
  <c r="AW123" i="12"/>
  <c r="D124" i="12"/>
  <c r="U124" i="12"/>
  <c r="V124" i="12"/>
  <c r="W124" i="12"/>
  <c r="X124" i="12"/>
  <c r="AP124" i="12" s="1"/>
  <c r="AQ124" i="12"/>
  <c r="AW124" i="12"/>
  <c r="D125" i="12"/>
  <c r="V125" i="12"/>
  <c r="W125" i="12"/>
  <c r="X125" i="12"/>
  <c r="AW125" i="12"/>
  <c r="D126" i="12"/>
  <c r="U126" i="12"/>
  <c r="V126" i="12"/>
  <c r="W126" i="12"/>
  <c r="X126" i="12"/>
  <c r="AP126" i="12" s="1"/>
  <c r="AQ126" i="12"/>
  <c r="AW126" i="12"/>
  <c r="D127" i="12"/>
  <c r="V127" i="12"/>
  <c r="W127" i="12"/>
  <c r="X127" i="12"/>
  <c r="AW127" i="12"/>
  <c r="D128" i="12"/>
  <c r="U128" i="12"/>
  <c r="V128" i="12"/>
  <c r="W128" i="12"/>
  <c r="X128" i="12"/>
  <c r="AP128" i="12" s="1"/>
  <c r="AQ128" i="12"/>
  <c r="AW128" i="12"/>
  <c r="D129" i="12"/>
  <c r="V129" i="12"/>
  <c r="W129" i="12"/>
  <c r="X129" i="12"/>
  <c r="AW129" i="12"/>
  <c r="D130" i="12"/>
  <c r="U130" i="12"/>
  <c r="V130" i="12"/>
  <c r="W130" i="12"/>
  <c r="X130" i="12"/>
  <c r="AP130" i="12" s="1"/>
  <c r="AQ130" i="12"/>
  <c r="AW130" i="12"/>
  <c r="D131" i="12"/>
  <c r="V131" i="12"/>
  <c r="W131" i="12"/>
  <c r="X131" i="12"/>
  <c r="AW131" i="12"/>
  <c r="D132" i="12"/>
  <c r="U132" i="12"/>
  <c r="V132" i="12"/>
  <c r="W132" i="12"/>
  <c r="X132" i="12"/>
  <c r="AP132" i="12" s="1"/>
  <c r="AQ132" i="12"/>
  <c r="AW132" i="12"/>
  <c r="D133" i="12"/>
  <c r="V133" i="12"/>
  <c r="W133" i="12"/>
  <c r="X133" i="12"/>
  <c r="AW133" i="12"/>
  <c r="D134" i="12"/>
  <c r="U134" i="12"/>
  <c r="V134" i="12"/>
  <c r="W134" i="12"/>
  <c r="X134" i="12"/>
  <c r="AP134" i="12" s="1"/>
  <c r="AQ134" i="12"/>
  <c r="AW134" i="12"/>
  <c r="D135" i="12"/>
  <c r="V135" i="12"/>
  <c r="W135" i="12"/>
  <c r="X135" i="12"/>
  <c r="AW135" i="12"/>
  <c r="D136" i="12"/>
  <c r="U136" i="12"/>
  <c r="V136" i="12"/>
  <c r="W136" i="12"/>
  <c r="X136" i="12"/>
  <c r="AP136" i="12" s="1"/>
  <c r="AQ136" i="12"/>
  <c r="AW136" i="12"/>
  <c r="D137" i="12"/>
  <c r="V137" i="12"/>
  <c r="W137" i="12"/>
  <c r="X137" i="12"/>
  <c r="AW137" i="12"/>
  <c r="D138" i="12"/>
  <c r="U138" i="12"/>
  <c r="V138" i="12"/>
  <c r="W138" i="12"/>
  <c r="X138" i="12"/>
  <c r="AP138" i="12" s="1"/>
  <c r="AQ138" i="12"/>
  <c r="AW138" i="12"/>
  <c r="D139" i="12"/>
  <c r="V139" i="12"/>
  <c r="W139" i="12"/>
  <c r="X139" i="12"/>
  <c r="AW139" i="12"/>
  <c r="D140" i="12"/>
  <c r="U140" i="12"/>
  <c r="V140" i="12"/>
  <c r="W140" i="12"/>
  <c r="X140" i="12"/>
  <c r="AP140" i="12" s="1"/>
  <c r="AQ140" i="12"/>
  <c r="AW140" i="12"/>
  <c r="D141" i="12"/>
  <c r="V141" i="12"/>
  <c r="W141" i="12"/>
  <c r="X141" i="12"/>
  <c r="AW141" i="12"/>
  <c r="D142" i="12"/>
  <c r="U142" i="12"/>
  <c r="V142" i="12"/>
  <c r="W142" i="12"/>
  <c r="X142" i="12"/>
  <c r="AP142" i="12" s="1"/>
  <c r="AQ142" i="12"/>
  <c r="AW142" i="12"/>
  <c r="D143" i="12"/>
  <c r="V143" i="12"/>
  <c r="W143" i="12"/>
  <c r="X143" i="12"/>
  <c r="AW143" i="12"/>
  <c r="D144" i="12"/>
  <c r="U144" i="12"/>
  <c r="V144" i="12"/>
  <c r="W144" i="12"/>
  <c r="X144" i="12"/>
  <c r="AP144" i="12" s="1"/>
  <c r="AQ144" i="12"/>
  <c r="AW144" i="12"/>
  <c r="D145" i="12"/>
  <c r="V145" i="12"/>
  <c r="W145" i="12"/>
  <c r="X145" i="12"/>
  <c r="AW145" i="12"/>
  <c r="D146" i="12"/>
  <c r="U146" i="12"/>
  <c r="V146" i="12"/>
  <c r="W146" i="12"/>
  <c r="X146" i="12"/>
  <c r="AP146" i="12" s="1"/>
  <c r="AQ146" i="12"/>
  <c r="AW146" i="12"/>
  <c r="D147" i="12"/>
  <c r="V147" i="12"/>
  <c r="W147" i="12"/>
  <c r="X147" i="12"/>
  <c r="AW147" i="12"/>
  <c r="D148" i="12"/>
  <c r="U148" i="12"/>
  <c r="V148" i="12"/>
  <c r="W148" i="12"/>
  <c r="X148" i="12"/>
  <c r="AP148" i="12" s="1"/>
  <c r="AQ148" i="12"/>
  <c r="AW148" i="12"/>
  <c r="D149" i="12"/>
  <c r="V149" i="12"/>
  <c r="W149" i="12"/>
  <c r="X149" i="12"/>
  <c r="AW149" i="12"/>
  <c r="D150" i="12"/>
  <c r="U150" i="12"/>
  <c r="V150" i="12"/>
  <c r="W150" i="12"/>
  <c r="X150" i="12"/>
  <c r="AP150" i="12" s="1"/>
  <c r="AQ150" i="12"/>
  <c r="AW150" i="12"/>
  <c r="D151" i="12"/>
  <c r="V151" i="12"/>
  <c r="W151" i="12"/>
  <c r="X151" i="12"/>
  <c r="AW151" i="12"/>
  <c r="D152" i="12"/>
  <c r="U152" i="12"/>
  <c r="V152" i="12"/>
  <c r="W152" i="12"/>
  <c r="X152" i="12"/>
  <c r="AP152" i="12" s="1"/>
  <c r="AQ152" i="12"/>
  <c r="AW152" i="12"/>
  <c r="D153" i="12"/>
  <c r="V153" i="12"/>
  <c r="W153" i="12"/>
  <c r="X153" i="12"/>
  <c r="AW153" i="12"/>
  <c r="D154" i="12"/>
  <c r="U154" i="12"/>
  <c r="V154" i="12"/>
  <c r="W154" i="12"/>
  <c r="X154" i="12"/>
  <c r="AP154" i="12" s="1"/>
  <c r="AQ154" i="12"/>
  <c r="AW154" i="12"/>
  <c r="D155" i="12"/>
  <c r="V155" i="12"/>
  <c r="W155" i="12"/>
  <c r="X155" i="12"/>
  <c r="AW155" i="12"/>
  <c r="D156" i="12"/>
  <c r="U156" i="12"/>
  <c r="V156" i="12"/>
  <c r="W156" i="12"/>
  <c r="X156" i="12"/>
  <c r="AP156" i="12" s="1"/>
  <c r="AQ156" i="12"/>
  <c r="AW156" i="12"/>
  <c r="D157" i="12"/>
  <c r="V157" i="12"/>
  <c r="W157" i="12"/>
  <c r="X157" i="12"/>
  <c r="AW157" i="12"/>
  <c r="D158" i="12"/>
  <c r="U158" i="12"/>
  <c r="V158" i="12"/>
  <c r="W158" i="12"/>
  <c r="X158" i="12"/>
  <c r="AP158" i="12" s="1"/>
  <c r="AQ158" i="12"/>
  <c r="AW158" i="12"/>
  <c r="D159" i="12"/>
  <c r="V159" i="12"/>
  <c r="W159" i="12"/>
  <c r="X159" i="12"/>
  <c r="AW159" i="12"/>
  <c r="D160" i="12"/>
  <c r="U160" i="12"/>
  <c r="V160" i="12"/>
  <c r="W160" i="12"/>
  <c r="X160" i="12"/>
  <c r="AP160" i="12" s="1"/>
  <c r="AQ160" i="12"/>
  <c r="AW160" i="12"/>
  <c r="D161" i="12"/>
  <c r="V161" i="12"/>
  <c r="W161" i="12"/>
  <c r="X161" i="12"/>
  <c r="AW161" i="12"/>
  <c r="D162" i="12"/>
  <c r="U162" i="12"/>
  <c r="V162" i="12"/>
  <c r="W162" i="12"/>
  <c r="X162" i="12"/>
  <c r="AP162" i="12" s="1"/>
  <c r="AQ162" i="12"/>
  <c r="AW162" i="12"/>
  <c r="D163" i="12"/>
  <c r="V163" i="12"/>
  <c r="W163" i="12"/>
  <c r="X163" i="12"/>
  <c r="AW163" i="12"/>
  <c r="D164" i="12"/>
  <c r="U164" i="12"/>
  <c r="V164" i="12"/>
  <c r="W164" i="12"/>
  <c r="X164" i="12"/>
  <c r="AP164" i="12" s="1"/>
  <c r="AQ164" i="12"/>
  <c r="AW164" i="12"/>
  <c r="D165" i="12"/>
  <c r="V165" i="12"/>
  <c r="W165" i="12"/>
  <c r="X165" i="12"/>
  <c r="AW165" i="12"/>
  <c r="D166" i="12"/>
  <c r="U166" i="12"/>
  <c r="V166" i="12"/>
  <c r="W166" i="12"/>
  <c r="X166" i="12"/>
  <c r="AP166" i="12" s="1"/>
  <c r="AQ166" i="12"/>
  <c r="AW166" i="12"/>
  <c r="D167" i="12"/>
  <c r="V167" i="12"/>
  <c r="W167" i="12"/>
  <c r="X167" i="12"/>
  <c r="AW167" i="12"/>
  <c r="D168" i="12"/>
  <c r="U168" i="12"/>
  <c r="V168" i="12"/>
  <c r="W168" i="12"/>
  <c r="X168" i="12"/>
  <c r="AP168" i="12" s="1"/>
  <c r="AQ168" i="12"/>
  <c r="AW168" i="12"/>
  <c r="D169" i="12"/>
  <c r="V169" i="12"/>
  <c r="W169" i="12"/>
  <c r="X169" i="12"/>
  <c r="AW169" i="12"/>
  <c r="D170" i="12"/>
  <c r="U170" i="12"/>
  <c r="V170" i="12"/>
  <c r="W170" i="12"/>
  <c r="X170" i="12"/>
  <c r="AP170" i="12" s="1"/>
  <c r="AQ170" i="12"/>
  <c r="AW170" i="12"/>
  <c r="D171" i="12"/>
  <c r="V171" i="12"/>
  <c r="W171" i="12"/>
  <c r="X171" i="12"/>
  <c r="AW171" i="12"/>
  <c r="D172" i="12"/>
  <c r="U172" i="12"/>
  <c r="V172" i="12"/>
  <c r="W172" i="12"/>
  <c r="X172" i="12"/>
  <c r="AP172" i="12" s="1"/>
  <c r="AQ172" i="12"/>
  <c r="AW172" i="12"/>
  <c r="D173" i="12"/>
  <c r="V173" i="12"/>
  <c r="W173" i="12"/>
  <c r="X173" i="12"/>
  <c r="AW173" i="12"/>
  <c r="D174" i="12"/>
  <c r="U174" i="12"/>
  <c r="V174" i="12"/>
  <c r="W174" i="12"/>
  <c r="X174" i="12"/>
  <c r="AP174" i="12" s="1"/>
  <c r="AQ174" i="12"/>
  <c r="AW174" i="12"/>
  <c r="D175" i="12"/>
  <c r="V175" i="12"/>
  <c r="W175" i="12"/>
  <c r="X175" i="12"/>
  <c r="AW175" i="12"/>
  <c r="D176" i="12"/>
  <c r="U176" i="12"/>
  <c r="V176" i="12"/>
  <c r="W176" i="12"/>
  <c r="X176" i="12"/>
  <c r="AP176" i="12" s="1"/>
  <c r="AQ176" i="12"/>
  <c r="AW176" i="12"/>
  <c r="D177" i="12"/>
  <c r="V177" i="12"/>
  <c r="W177" i="12"/>
  <c r="X177" i="12"/>
  <c r="AW177" i="12"/>
  <c r="D178" i="12"/>
  <c r="U178" i="12"/>
  <c r="V178" i="12"/>
  <c r="W178" i="12"/>
  <c r="X178" i="12"/>
  <c r="AP178" i="12"/>
  <c r="AQ178" i="12"/>
  <c r="AW178" i="12"/>
  <c r="D179" i="12"/>
  <c r="V179" i="12"/>
  <c r="W179" i="12"/>
  <c r="X179" i="12"/>
  <c r="AW179" i="12"/>
  <c r="D180" i="12"/>
  <c r="U180" i="12"/>
  <c r="V180" i="12"/>
  <c r="W180" i="12"/>
  <c r="X180" i="12"/>
  <c r="AP180" i="12" s="1"/>
  <c r="AQ180" i="12"/>
  <c r="AW180" i="12"/>
  <c r="D181" i="12"/>
  <c r="V181" i="12"/>
  <c r="W181" i="12"/>
  <c r="X181" i="12"/>
  <c r="AW181" i="12"/>
  <c r="D182" i="12"/>
  <c r="U182" i="12"/>
  <c r="V182" i="12"/>
  <c r="W182" i="12"/>
  <c r="X182" i="12"/>
  <c r="AP182" i="12" s="1"/>
  <c r="AQ182" i="12"/>
  <c r="AW182" i="12"/>
  <c r="D183" i="12"/>
  <c r="V183" i="12"/>
  <c r="W183" i="12"/>
  <c r="X183" i="12"/>
  <c r="AW183" i="12"/>
  <c r="D184" i="12"/>
  <c r="U184" i="12"/>
  <c r="V184" i="12"/>
  <c r="W184" i="12"/>
  <c r="X184" i="12"/>
  <c r="AP184" i="12" s="1"/>
  <c r="AQ184" i="12"/>
  <c r="AW184" i="12"/>
  <c r="D185" i="12"/>
  <c r="V185" i="12"/>
  <c r="W185" i="12"/>
  <c r="X185" i="12"/>
  <c r="AW185" i="12"/>
  <c r="D186" i="12"/>
  <c r="U186" i="12"/>
  <c r="V186" i="12"/>
  <c r="W186" i="12"/>
  <c r="X186" i="12"/>
  <c r="AP186" i="12" s="1"/>
  <c r="AQ186" i="12"/>
  <c r="AW186" i="12"/>
  <c r="D187" i="12"/>
  <c r="V187" i="12"/>
  <c r="W187" i="12"/>
  <c r="X187" i="12"/>
  <c r="AW187" i="12"/>
  <c r="D188" i="12"/>
  <c r="U188" i="12"/>
  <c r="V188" i="12"/>
  <c r="W188" i="12"/>
  <c r="X188" i="12"/>
  <c r="AP188" i="12" s="1"/>
  <c r="AQ188" i="12"/>
  <c r="AW188" i="12"/>
  <c r="D189" i="12"/>
  <c r="V189" i="12"/>
  <c r="W189" i="12"/>
  <c r="X189" i="12"/>
  <c r="AW189" i="12"/>
  <c r="D190" i="12"/>
  <c r="U190" i="12"/>
  <c r="V190" i="12"/>
  <c r="W190" i="12"/>
  <c r="X190" i="12"/>
  <c r="AP190" i="12" s="1"/>
  <c r="AQ190" i="12"/>
  <c r="AW190" i="12"/>
  <c r="D191" i="12"/>
  <c r="V191" i="12"/>
  <c r="W191" i="12"/>
  <c r="X191" i="12"/>
  <c r="AW191" i="12"/>
  <c r="D192" i="12"/>
  <c r="U192" i="12"/>
  <c r="V192" i="12"/>
  <c r="W192" i="12"/>
  <c r="X192" i="12"/>
  <c r="AP192" i="12" s="1"/>
  <c r="AQ192" i="12"/>
  <c r="AW192" i="12"/>
  <c r="D193" i="12"/>
  <c r="V193" i="12"/>
  <c r="W193" i="12"/>
  <c r="X193" i="12"/>
  <c r="AW193" i="12"/>
  <c r="D194" i="12"/>
  <c r="U194" i="12"/>
  <c r="V194" i="12"/>
  <c r="W194" i="12"/>
  <c r="X194" i="12"/>
  <c r="AP194" i="12" s="1"/>
  <c r="AQ194" i="12"/>
  <c r="AW194" i="12"/>
  <c r="D195" i="12"/>
  <c r="V195" i="12"/>
  <c r="W195" i="12"/>
  <c r="X195" i="12"/>
  <c r="AW195" i="12"/>
  <c r="D196" i="12"/>
  <c r="U196" i="12"/>
  <c r="V196" i="12"/>
  <c r="W196" i="12"/>
  <c r="X196" i="12"/>
  <c r="AP196" i="12" s="1"/>
  <c r="AQ196" i="12"/>
  <c r="AW196" i="12"/>
  <c r="D197" i="12"/>
  <c r="V197" i="12"/>
  <c r="W197" i="12"/>
  <c r="X197" i="12"/>
  <c r="AW197" i="12"/>
  <c r="D198" i="12"/>
  <c r="U198" i="12"/>
  <c r="V198" i="12"/>
  <c r="W198" i="12"/>
  <c r="X198" i="12"/>
  <c r="AP198" i="12" s="1"/>
  <c r="AQ198" i="12"/>
  <c r="AW198" i="12"/>
  <c r="D199" i="12"/>
  <c r="V199" i="12"/>
  <c r="W199" i="12"/>
  <c r="X199" i="12"/>
  <c r="AW199" i="12"/>
  <c r="D200" i="12"/>
  <c r="U200" i="12"/>
  <c r="V200" i="12"/>
  <c r="W200" i="12"/>
  <c r="X200" i="12"/>
  <c r="AP200" i="12" s="1"/>
  <c r="AQ200" i="12"/>
  <c r="AW200" i="12"/>
  <c r="D201" i="12"/>
  <c r="V201" i="12"/>
  <c r="W201" i="12"/>
  <c r="X201" i="12"/>
  <c r="AW201" i="12"/>
  <c r="D202" i="12"/>
  <c r="U202" i="12"/>
  <c r="V202" i="12"/>
  <c r="W202" i="12"/>
  <c r="X202" i="12"/>
  <c r="AP202" i="12" s="1"/>
  <c r="AQ202" i="12"/>
  <c r="AW202" i="12"/>
  <c r="D203" i="12"/>
  <c r="V203" i="12"/>
  <c r="W203" i="12"/>
  <c r="X203" i="12"/>
  <c r="AW203" i="12"/>
  <c r="D204" i="12"/>
  <c r="U204" i="12"/>
  <c r="V204" i="12"/>
  <c r="W204" i="12"/>
  <c r="X204" i="12"/>
  <c r="AP204" i="12" s="1"/>
  <c r="AQ204" i="12"/>
  <c r="AW204" i="12"/>
  <c r="D205" i="12"/>
  <c r="V205" i="12"/>
  <c r="W205" i="12"/>
  <c r="X205" i="12"/>
  <c r="AW205" i="12"/>
  <c r="D206" i="12"/>
  <c r="U206" i="12"/>
  <c r="V206" i="12"/>
  <c r="W206" i="12"/>
  <c r="X206" i="12"/>
  <c r="AP206" i="12" s="1"/>
  <c r="AQ206" i="12"/>
  <c r="AW206" i="12"/>
  <c r="D207" i="12"/>
  <c r="V207" i="12"/>
  <c r="W207" i="12"/>
  <c r="X207" i="12"/>
  <c r="AW207" i="12"/>
  <c r="D208" i="12"/>
  <c r="U208" i="12"/>
  <c r="V208" i="12"/>
  <c r="W208" i="12"/>
  <c r="X208" i="12"/>
  <c r="AP208" i="12" s="1"/>
  <c r="AQ208" i="12"/>
  <c r="AW208" i="12"/>
  <c r="D209" i="12"/>
  <c r="V209" i="12"/>
  <c r="W209" i="12"/>
  <c r="X209" i="12"/>
  <c r="AW209" i="12"/>
  <c r="D210" i="12"/>
  <c r="U210" i="12"/>
  <c r="V210" i="12"/>
  <c r="W210" i="12"/>
  <c r="X210" i="12"/>
  <c r="AP210" i="12" s="1"/>
  <c r="AQ210" i="12"/>
  <c r="AW210" i="12"/>
  <c r="D211" i="12"/>
  <c r="V211" i="12"/>
  <c r="W211" i="12"/>
  <c r="X211" i="12"/>
  <c r="AW211" i="12"/>
  <c r="D212" i="12"/>
  <c r="U212" i="12"/>
  <c r="V212" i="12"/>
  <c r="W212" i="12"/>
  <c r="X212" i="12"/>
  <c r="AP212" i="12" s="1"/>
  <c r="AQ212" i="12"/>
  <c r="AW212" i="12"/>
  <c r="D213" i="12"/>
  <c r="V213" i="12"/>
  <c r="W213" i="12"/>
  <c r="X213" i="12"/>
  <c r="AW213" i="12"/>
  <c r="D214" i="12"/>
  <c r="U214" i="12"/>
  <c r="V214" i="12"/>
  <c r="W214" i="12"/>
  <c r="X214" i="12"/>
  <c r="AP214" i="12" s="1"/>
  <c r="AQ214" i="12"/>
  <c r="AW214" i="12"/>
  <c r="D215" i="12"/>
  <c r="V215" i="12"/>
  <c r="W215" i="12"/>
  <c r="X215" i="12"/>
  <c r="AW215" i="12"/>
  <c r="D216" i="12"/>
  <c r="U216" i="12"/>
  <c r="V216" i="12"/>
  <c r="W216" i="12"/>
  <c r="X216" i="12"/>
  <c r="AP216" i="12" s="1"/>
  <c r="AQ216" i="12"/>
  <c r="AW216" i="12"/>
  <c r="D217" i="12"/>
  <c r="V217" i="12"/>
  <c r="W217" i="12"/>
  <c r="X217" i="12"/>
  <c r="AW217" i="12"/>
  <c r="D218" i="12"/>
  <c r="U218" i="12"/>
  <c r="V218" i="12"/>
  <c r="W218" i="12"/>
  <c r="X218" i="12"/>
  <c r="AP218" i="12" s="1"/>
  <c r="AQ218" i="12"/>
  <c r="AW218" i="12"/>
  <c r="D219" i="12"/>
  <c r="V219" i="12"/>
  <c r="W219" i="12"/>
  <c r="X219" i="12"/>
  <c r="AW219" i="12"/>
  <c r="D220" i="12"/>
  <c r="U220" i="12"/>
  <c r="V220" i="12"/>
  <c r="W220" i="12"/>
  <c r="X220" i="12"/>
  <c r="AP220" i="12" s="1"/>
  <c r="AQ220" i="12"/>
  <c r="AW220" i="12"/>
  <c r="D221" i="12"/>
  <c r="V221" i="12"/>
  <c r="W221" i="12"/>
  <c r="X221" i="12"/>
  <c r="AW221" i="12"/>
  <c r="D222" i="12"/>
  <c r="U222" i="12"/>
  <c r="V222" i="12"/>
  <c r="W222" i="12"/>
  <c r="X222" i="12"/>
  <c r="AP222" i="12" s="1"/>
  <c r="AQ222" i="12"/>
  <c r="AW222" i="12"/>
  <c r="D223" i="12"/>
  <c r="V223" i="12"/>
  <c r="W223" i="12"/>
  <c r="X223" i="12"/>
  <c r="AW223" i="12"/>
  <c r="D224" i="12"/>
  <c r="U224" i="12"/>
  <c r="V224" i="12"/>
  <c r="W224" i="12"/>
  <c r="X224" i="12"/>
  <c r="AP224" i="12" s="1"/>
  <c r="AQ224" i="12"/>
  <c r="AW224" i="12"/>
  <c r="D225" i="12"/>
  <c r="V225" i="12"/>
  <c r="W225" i="12"/>
  <c r="X225" i="12"/>
  <c r="AW225" i="12"/>
  <c r="D226" i="12"/>
  <c r="U226" i="12"/>
  <c r="V226" i="12"/>
  <c r="W226" i="12"/>
  <c r="X226" i="12"/>
  <c r="AP226" i="12" s="1"/>
  <c r="AQ226" i="12"/>
  <c r="AW226" i="12"/>
  <c r="D227" i="12"/>
  <c r="V227" i="12"/>
  <c r="W227" i="12"/>
  <c r="X227" i="12"/>
  <c r="AW227" i="12"/>
  <c r="D228" i="12"/>
  <c r="U228" i="12"/>
  <c r="V228" i="12"/>
  <c r="W228" i="12"/>
  <c r="X228" i="12"/>
  <c r="AP228" i="12" s="1"/>
  <c r="AQ228" i="12"/>
  <c r="AW228" i="12"/>
  <c r="D229" i="12"/>
  <c r="V229" i="12"/>
  <c r="W229" i="12"/>
  <c r="X229" i="12"/>
  <c r="AW229" i="12"/>
  <c r="D230" i="12"/>
  <c r="U230" i="12"/>
  <c r="V230" i="12"/>
  <c r="W230" i="12"/>
  <c r="X230" i="12"/>
  <c r="AP230" i="12" s="1"/>
  <c r="AQ230" i="12"/>
  <c r="AW230" i="12"/>
  <c r="D231" i="12"/>
  <c r="V231" i="12"/>
  <c r="W231" i="12"/>
  <c r="X231" i="12"/>
  <c r="AW231" i="12"/>
  <c r="D232" i="12"/>
  <c r="U232" i="12"/>
  <c r="V232" i="12"/>
  <c r="W232" i="12"/>
  <c r="X232" i="12"/>
  <c r="AP232" i="12" s="1"/>
  <c r="AQ232" i="12"/>
  <c r="AW232" i="12"/>
  <c r="D233" i="12"/>
  <c r="V233" i="12"/>
  <c r="W233" i="12"/>
  <c r="X233" i="12"/>
  <c r="AW233" i="12"/>
  <c r="D234" i="12"/>
  <c r="U234" i="12"/>
  <c r="V234" i="12"/>
  <c r="W234" i="12"/>
  <c r="X234" i="12"/>
  <c r="AP234" i="12" s="1"/>
  <c r="AQ234" i="12"/>
  <c r="AW234" i="12"/>
  <c r="D235" i="12"/>
  <c r="V235" i="12"/>
  <c r="W235" i="12"/>
  <c r="X235" i="12"/>
  <c r="AW235" i="12"/>
  <c r="D236" i="12"/>
  <c r="U236" i="12"/>
  <c r="V236" i="12"/>
  <c r="W236" i="12"/>
  <c r="X236" i="12"/>
  <c r="AP236" i="12" s="1"/>
  <c r="AQ236" i="12"/>
  <c r="AW236" i="12"/>
  <c r="D237" i="12"/>
  <c r="V237" i="12"/>
  <c r="W237" i="12"/>
  <c r="X237" i="12"/>
  <c r="AW237" i="12"/>
  <c r="D238" i="12"/>
  <c r="U238" i="12"/>
  <c r="V238" i="12"/>
  <c r="W238" i="12"/>
  <c r="X238" i="12"/>
  <c r="AP238" i="12" s="1"/>
  <c r="AQ238" i="12"/>
  <c r="AW238" i="12"/>
  <c r="D239" i="12"/>
  <c r="V239" i="12"/>
  <c r="W239" i="12"/>
  <c r="X239" i="12"/>
  <c r="AW239" i="12"/>
  <c r="D240" i="12"/>
  <c r="U240" i="12"/>
  <c r="V240" i="12"/>
  <c r="W240" i="12"/>
  <c r="X240" i="12"/>
  <c r="AP240" i="12" s="1"/>
  <c r="AQ240" i="12"/>
  <c r="AW240" i="12"/>
  <c r="D241" i="12"/>
  <c r="V241" i="12"/>
  <c r="W241" i="12"/>
  <c r="X241" i="12"/>
  <c r="AW241" i="12"/>
  <c r="D242" i="12"/>
  <c r="U242" i="12"/>
  <c r="V242" i="12"/>
  <c r="W242" i="12"/>
  <c r="X242" i="12"/>
  <c r="AP242" i="12" s="1"/>
  <c r="AQ242" i="12"/>
  <c r="AW242" i="12"/>
  <c r="D243" i="12"/>
  <c r="V243" i="12"/>
  <c r="W243" i="12"/>
  <c r="X243" i="12"/>
  <c r="AW243" i="12"/>
  <c r="D244" i="12"/>
  <c r="U244" i="12"/>
  <c r="V244" i="12"/>
  <c r="W244" i="12"/>
  <c r="X244" i="12"/>
  <c r="AP244" i="12" s="1"/>
  <c r="AQ244" i="12"/>
  <c r="AW244" i="12"/>
  <c r="D245" i="12"/>
  <c r="V245" i="12"/>
  <c r="W245" i="12"/>
  <c r="X245" i="12"/>
  <c r="AW245" i="12"/>
  <c r="D246" i="12"/>
  <c r="U246" i="12"/>
  <c r="V246" i="12"/>
  <c r="W246" i="12"/>
  <c r="X246" i="12"/>
  <c r="AP246" i="12" s="1"/>
  <c r="AQ246" i="12"/>
  <c r="AW246" i="12"/>
  <c r="D247" i="12"/>
  <c r="V247" i="12"/>
  <c r="W247" i="12"/>
  <c r="X247" i="12"/>
  <c r="AW247" i="12"/>
  <c r="D248" i="12"/>
  <c r="U248" i="12"/>
  <c r="V248" i="12"/>
  <c r="W248" i="12"/>
  <c r="X248" i="12"/>
  <c r="AP248" i="12" s="1"/>
  <c r="AQ248" i="12"/>
  <c r="AW248" i="12"/>
  <c r="D249" i="12"/>
  <c r="V249" i="12"/>
  <c r="W249" i="12"/>
  <c r="X249" i="12"/>
  <c r="AW249" i="12"/>
  <c r="D250" i="12"/>
  <c r="U250" i="12"/>
  <c r="V250" i="12"/>
  <c r="W250" i="12"/>
  <c r="X250" i="12"/>
  <c r="AP250" i="12" s="1"/>
  <c r="AQ250" i="12"/>
  <c r="AW250" i="12"/>
  <c r="D251" i="12"/>
  <c r="V251" i="12"/>
  <c r="W251" i="12"/>
  <c r="X251" i="12"/>
  <c r="AW251" i="12"/>
  <c r="D252" i="12"/>
  <c r="U252" i="12"/>
  <c r="V252" i="12"/>
  <c r="W252" i="12"/>
  <c r="X252" i="12"/>
  <c r="AP252" i="12" s="1"/>
  <c r="AQ252" i="12"/>
  <c r="AW252" i="12"/>
  <c r="D253" i="12"/>
  <c r="V253" i="12"/>
  <c r="W253" i="12"/>
  <c r="X253" i="12"/>
  <c r="AW253" i="12"/>
  <c r="D254" i="12"/>
  <c r="U254" i="12"/>
  <c r="V254" i="12"/>
  <c r="W254" i="12"/>
  <c r="X254" i="12"/>
  <c r="AP254" i="12" s="1"/>
  <c r="AQ254" i="12"/>
  <c r="AW254" i="12"/>
  <c r="D255" i="12"/>
  <c r="V255" i="12"/>
  <c r="W255" i="12"/>
  <c r="X255" i="12"/>
  <c r="AW255" i="12"/>
  <c r="D256" i="12"/>
  <c r="U256" i="12"/>
  <c r="V256" i="12"/>
  <c r="W256" i="12"/>
  <c r="X256" i="12"/>
  <c r="AP256" i="12" s="1"/>
  <c r="AQ256" i="12"/>
  <c r="AW256" i="12"/>
  <c r="D257" i="12"/>
  <c r="V257" i="12"/>
  <c r="W257" i="12"/>
  <c r="X257" i="12"/>
  <c r="AW257" i="12"/>
  <c r="D258" i="12"/>
  <c r="U258" i="12"/>
  <c r="V258" i="12"/>
  <c r="W258" i="12"/>
  <c r="X258" i="12"/>
  <c r="AP258" i="12" s="1"/>
  <c r="AQ258" i="12"/>
  <c r="AW258" i="12"/>
  <c r="D259" i="12"/>
  <c r="V259" i="12"/>
  <c r="W259" i="12"/>
  <c r="X259" i="12"/>
  <c r="AW259" i="12"/>
  <c r="D260" i="12"/>
  <c r="U260" i="12"/>
  <c r="V260" i="12"/>
  <c r="W260" i="12"/>
  <c r="X260" i="12"/>
  <c r="AP260" i="12" s="1"/>
  <c r="AQ260" i="12"/>
  <c r="AW260" i="12"/>
  <c r="D261" i="12"/>
  <c r="V261" i="12"/>
  <c r="W261" i="12"/>
  <c r="X261" i="12"/>
  <c r="AW261" i="12"/>
  <c r="D262" i="12"/>
  <c r="U262" i="12"/>
  <c r="V262" i="12"/>
  <c r="W262" i="12"/>
  <c r="X262" i="12"/>
  <c r="AP262" i="12" s="1"/>
  <c r="AQ262" i="12"/>
  <c r="AW262" i="12"/>
  <c r="D263" i="12"/>
  <c r="V263" i="12"/>
  <c r="W263" i="12"/>
  <c r="X263" i="12"/>
  <c r="AW263" i="12"/>
  <c r="D264" i="12"/>
  <c r="U264" i="12"/>
  <c r="V264" i="12"/>
  <c r="W264" i="12"/>
  <c r="X264" i="12"/>
  <c r="AP264" i="12" s="1"/>
  <c r="AQ264" i="12"/>
  <c r="AW264" i="12"/>
  <c r="D265" i="12"/>
  <c r="V265" i="12"/>
  <c r="W265" i="12"/>
  <c r="X265" i="12"/>
  <c r="AW265" i="12"/>
  <c r="D266" i="12"/>
  <c r="U266" i="12"/>
  <c r="V266" i="12"/>
  <c r="W266" i="12"/>
  <c r="X266" i="12"/>
  <c r="AP266" i="12" s="1"/>
  <c r="AQ266" i="12"/>
  <c r="AW266" i="12"/>
  <c r="D267" i="12"/>
  <c r="V267" i="12"/>
  <c r="W267" i="12"/>
  <c r="X267" i="12"/>
  <c r="AW267" i="12"/>
  <c r="D268" i="12"/>
  <c r="U268" i="12"/>
  <c r="V268" i="12"/>
  <c r="W268" i="12"/>
  <c r="X268" i="12"/>
  <c r="AP268" i="12" s="1"/>
  <c r="AQ268" i="12"/>
  <c r="AW268" i="12"/>
  <c r="D269" i="12"/>
  <c r="V269" i="12"/>
  <c r="W269" i="12"/>
  <c r="X269" i="12"/>
  <c r="AW269" i="12"/>
  <c r="D270" i="12"/>
  <c r="U270" i="12"/>
  <c r="V270" i="12"/>
  <c r="W270" i="12"/>
  <c r="X270" i="12"/>
  <c r="AP270" i="12" s="1"/>
  <c r="AQ270" i="12"/>
  <c r="AW270" i="12"/>
  <c r="D271" i="12"/>
  <c r="V271" i="12"/>
  <c r="W271" i="12"/>
  <c r="X271" i="12"/>
  <c r="AW271" i="12"/>
  <c r="D272" i="12"/>
  <c r="U272" i="12"/>
  <c r="V272" i="12"/>
  <c r="W272" i="12"/>
  <c r="X272" i="12"/>
  <c r="AP272" i="12"/>
  <c r="AQ272" i="12"/>
  <c r="AW272" i="12"/>
  <c r="D273" i="12"/>
  <c r="V273" i="12"/>
  <c r="W273" i="12"/>
  <c r="X273" i="12"/>
  <c r="AW273" i="12"/>
  <c r="D274" i="12"/>
  <c r="U274" i="12"/>
  <c r="V274" i="12"/>
  <c r="W274" i="12"/>
  <c r="X274" i="12"/>
  <c r="AP274" i="12" s="1"/>
  <c r="AQ274" i="12"/>
  <c r="AW274" i="12"/>
  <c r="D275" i="12"/>
  <c r="V275" i="12"/>
  <c r="W275" i="12"/>
  <c r="X275" i="12"/>
  <c r="AW275" i="12"/>
  <c r="D276" i="12"/>
  <c r="U276" i="12"/>
  <c r="V276" i="12"/>
  <c r="W276" i="12"/>
  <c r="X276" i="12"/>
  <c r="AP276" i="12" s="1"/>
  <c r="AQ276" i="12"/>
  <c r="AW276" i="12"/>
  <c r="D277" i="12"/>
  <c r="V277" i="12"/>
  <c r="W277" i="12"/>
  <c r="X277" i="12"/>
  <c r="AW277" i="12"/>
  <c r="D278" i="12"/>
  <c r="U278" i="12"/>
  <c r="V278" i="12"/>
  <c r="W278" i="12"/>
  <c r="X278" i="12"/>
  <c r="AP278" i="12" s="1"/>
  <c r="AQ278" i="12"/>
  <c r="AW278" i="12"/>
  <c r="D279" i="12"/>
  <c r="V279" i="12"/>
  <c r="W279" i="12"/>
  <c r="X279" i="12"/>
  <c r="AW279" i="12"/>
  <c r="D280" i="12"/>
  <c r="U280" i="12"/>
  <c r="V280" i="12"/>
  <c r="W280" i="12"/>
  <c r="X280" i="12"/>
  <c r="AP280" i="12"/>
  <c r="AQ280" i="12"/>
  <c r="AW280" i="12"/>
  <c r="D281" i="12"/>
  <c r="V281" i="12"/>
  <c r="W281" i="12"/>
  <c r="X281" i="12"/>
  <c r="AW281" i="12"/>
  <c r="D282" i="12"/>
  <c r="U282" i="12"/>
  <c r="V282" i="12"/>
  <c r="W282" i="12"/>
  <c r="X282" i="12"/>
  <c r="AP282" i="12" s="1"/>
  <c r="AQ282" i="12"/>
  <c r="AW282" i="12"/>
  <c r="D283" i="12"/>
  <c r="V283" i="12"/>
  <c r="W283" i="12"/>
  <c r="X283" i="12"/>
  <c r="AW283" i="12"/>
  <c r="D284" i="12"/>
  <c r="U284" i="12"/>
  <c r="V284" i="12"/>
  <c r="W284" i="12"/>
  <c r="X284" i="12"/>
  <c r="AP284" i="12" s="1"/>
  <c r="AQ284" i="12"/>
  <c r="AW284" i="12"/>
  <c r="D285" i="12"/>
  <c r="V285" i="12"/>
  <c r="W285" i="12"/>
  <c r="X285" i="12"/>
  <c r="AW285" i="12"/>
  <c r="D286" i="12"/>
  <c r="U286" i="12"/>
  <c r="V286" i="12"/>
  <c r="W286" i="12"/>
  <c r="X286" i="12"/>
  <c r="AP286" i="12" s="1"/>
  <c r="AQ286" i="12"/>
  <c r="AW286" i="12"/>
  <c r="D287" i="12"/>
  <c r="V287" i="12"/>
  <c r="W287" i="12"/>
  <c r="X287" i="12"/>
  <c r="AW287" i="12"/>
  <c r="D288" i="12"/>
  <c r="U288" i="12"/>
  <c r="V288" i="12"/>
  <c r="W288" i="12"/>
  <c r="X288" i="12"/>
  <c r="AP288" i="12" s="1"/>
  <c r="AQ288" i="12"/>
  <c r="AW288" i="12"/>
  <c r="D289" i="12"/>
  <c r="V289" i="12"/>
  <c r="W289" i="12"/>
  <c r="X289" i="12"/>
  <c r="AW289" i="12"/>
  <c r="D290" i="12"/>
  <c r="U290" i="12"/>
  <c r="V290" i="12"/>
  <c r="W290" i="12"/>
  <c r="X290" i="12"/>
  <c r="AP290" i="12" s="1"/>
  <c r="AQ290" i="12"/>
  <c r="AW290" i="12"/>
  <c r="D291" i="12"/>
  <c r="V291" i="12"/>
  <c r="W291" i="12"/>
  <c r="X291" i="12"/>
  <c r="AW291" i="12"/>
  <c r="D292" i="12"/>
  <c r="U292" i="12"/>
  <c r="V292" i="12"/>
  <c r="W292" i="12"/>
  <c r="X292" i="12"/>
  <c r="AP292" i="12" s="1"/>
  <c r="AQ292" i="12"/>
  <c r="AW292" i="12"/>
  <c r="D293" i="12"/>
  <c r="V293" i="12"/>
  <c r="W293" i="12"/>
  <c r="X293" i="12"/>
  <c r="AW293" i="12"/>
  <c r="D294" i="12"/>
  <c r="U294" i="12"/>
  <c r="V294" i="12"/>
  <c r="W294" i="12"/>
  <c r="X294" i="12"/>
  <c r="AP294" i="12" s="1"/>
  <c r="AQ294" i="12"/>
  <c r="AW294" i="12"/>
  <c r="D295" i="12"/>
  <c r="V295" i="12"/>
  <c r="W295" i="12"/>
  <c r="X295" i="12"/>
  <c r="AW295" i="12"/>
  <c r="D296" i="12"/>
  <c r="U296" i="12"/>
  <c r="V296" i="12"/>
  <c r="W296" i="12"/>
  <c r="X296" i="12"/>
  <c r="AP296" i="12" s="1"/>
  <c r="AQ296" i="12"/>
  <c r="AW296" i="12"/>
  <c r="D297" i="12"/>
  <c r="V297" i="12"/>
  <c r="W297" i="12"/>
  <c r="X297" i="12"/>
  <c r="AW297" i="12"/>
  <c r="D298" i="12"/>
  <c r="U298" i="12"/>
  <c r="V298" i="12"/>
  <c r="W298" i="12"/>
  <c r="X298" i="12"/>
  <c r="AP298" i="12" s="1"/>
  <c r="AQ298" i="12"/>
  <c r="AW298" i="12"/>
  <c r="D299" i="12"/>
  <c r="V299" i="12"/>
  <c r="W299" i="12"/>
  <c r="X299" i="12"/>
  <c r="AW299" i="12"/>
  <c r="D300" i="12"/>
  <c r="U300" i="12"/>
  <c r="V300" i="12"/>
  <c r="W300" i="12"/>
  <c r="X300" i="12"/>
  <c r="AP300" i="12" s="1"/>
  <c r="AQ300" i="12"/>
  <c r="AW300" i="12"/>
  <c r="D301" i="12"/>
  <c r="V301" i="12"/>
  <c r="W301" i="12"/>
  <c r="X301" i="12"/>
  <c r="AW301" i="12"/>
  <c r="D302" i="12"/>
  <c r="U302" i="12"/>
  <c r="V302" i="12"/>
  <c r="W302" i="12"/>
  <c r="X302" i="12"/>
  <c r="AP302" i="12" s="1"/>
  <c r="AQ302" i="12"/>
  <c r="AW302" i="12"/>
  <c r="D303" i="12"/>
  <c r="V303" i="12"/>
  <c r="W303" i="12"/>
  <c r="X303" i="12"/>
  <c r="AW303" i="12"/>
  <c r="D304" i="12"/>
  <c r="U304" i="12"/>
  <c r="V304" i="12"/>
  <c r="W304" i="12"/>
  <c r="X304" i="12"/>
  <c r="AP304" i="12" s="1"/>
  <c r="AQ304" i="12"/>
  <c r="AW304" i="12"/>
  <c r="D305" i="12"/>
  <c r="V305" i="12"/>
  <c r="W305" i="12"/>
  <c r="X305" i="12"/>
  <c r="AW305" i="12"/>
  <c r="D306" i="12"/>
  <c r="U306" i="12"/>
  <c r="V306" i="12"/>
  <c r="W306" i="12"/>
  <c r="X306" i="12"/>
  <c r="AP306" i="12" s="1"/>
  <c r="AQ306" i="12"/>
  <c r="AW306" i="12"/>
  <c r="D307" i="12"/>
  <c r="V307" i="12"/>
  <c r="W307" i="12"/>
  <c r="X307" i="12"/>
  <c r="AW307" i="12"/>
  <c r="D308" i="12"/>
  <c r="U308" i="12"/>
  <c r="V308" i="12"/>
  <c r="W308" i="12"/>
  <c r="X308" i="12"/>
  <c r="AP308" i="12" s="1"/>
  <c r="AQ308" i="12"/>
  <c r="AW308" i="12"/>
  <c r="B7" i="9"/>
  <c r="B19" i="9"/>
  <c r="B33" i="9"/>
  <c r="B34" i="9"/>
  <c r="B36" i="9"/>
  <c r="B38" i="9"/>
  <c r="C45" i="9"/>
  <c r="C48" i="9"/>
  <c r="B121" i="9"/>
  <c r="B122" i="9"/>
  <c r="B123" i="9"/>
  <c r="B143" i="9"/>
  <c r="Y207" i="12" s="1"/>
  <c r="C143" i="9"/>
  <c r="C26" i="18" s="1"/>
  <c r="B144" i="9"/>
  <c r="C144" i="9"/>
  <c r="B145" i="9"/>
  <c r="C145" i="9"/>
  <c r="B146" i="9"/>
  <c r="C146" i="9"/>
  <c r="B147" i="9"/>
  <c r="C147" i="9"/>
  <c r="B148" i="9"/>
  <c r="C148" i="9"/>
  <c r="C149" i="9"/>
  <c r="B14" i="17"/>
  <c r="B15" i="17"/>
  <c r="B16" i="17" s="1"/>
  <c r="D15" i="18"/>
  <c r="B18" i="18"/>
  <c r="E26" i="18"/>
  <c r="C43" i="18"/>
  <c r="C45" i="18" s="1"/>
  <c r="D43" i="18"/>
  <c r="D45" i="18" s="1"/>
  <c r="G2" i="2"/>
  <c r="G21" i="2"/>
  <c r="E22" i="2"/>
  <c r="F22" i="2"/>
  <c r="G22" i="2"/>
  <c r="C25" i="2"/>
  <c r="D28" i="2"/>
  <c r="D44" i="2"/>
  <c r="D48" i="2" s="1"/>
  <c r="F44" i="2"/>
  <c r="F48" i="2" s="1"/>
  <c r="C44" i="1"/>
  <c r="B22" i="9"/>
  <c r="B11" i="9"/>
  <c r="C47" i="9"/>
  <c r="C43" i="9"/>
  <c r="C49" i="9"/>
  <c r="C21" i="1"/>
  <c r="F17" i="4"/>
  <c r="G17" i="4" s="1"/>
  <c r="B5" i="9"/>
  <c r="Z138" i="12" s="1"/>
  <c r="B17" i="9"/>
  <c r="AA42" i="12" s="1"/>
  <c r="AE42" i="12" s="1"/>
  <c r="B23" i="9"/>
  <c r="B6" i="9"/>
  <c r="C44" i="9"/>
  <c r="B18" i="9"/>
  <c r="AA256" i="12"/>
  <c r="AE256" i="12" s="1"/>
  <c r="AA239" i="12"/>
  <c r="AE239" i="12" s="1"/>
  <c r="Y60" i="12"/>
  <c r="Y89" i="12"/>
  <c r="Y227" i="12"/>
  <c r="Y234" i="12"/>
  <c r="AF234" i="12" s="1"/>
  <c r="AG234" i="12" s="1"/>
  <c r="Y142" i="12"/>
  <c r="AF142" i="12" s="1"/>
  <c r="AG142" i="12" s="1"/>
  <c r="Y245" i="12"/>
  <c r="Y190" i="12"/>
  <c r="AF190" i="12" s="1"/>
  <c r="AG190" i="12" s="1"/>
  <c r="AA237" i="12"/>
  <c r="AE237" i="12" s="1"/>
  <c r="AA240" i="12"/>
  <c r="AE240" i="12" s="1"/>
  <c r="AA218" i="12"/>
  <c r="AE218" i="12" s="1"/>
  <c r="AA207" i="12"/>
  <c r="AE207" i="12" s="1"/>
  <c r="AA142" i="12"/>
  <c r="AE142" i="12" s="1"/>
  <c r="AA139" i="12"/>
  <c r="AE139" i="12" s="1"/>
  <c r="AA298" i="12"/>
  <c r="AE298" i="12" s="1"/>
  <c r="AA115" i="12"/>
  <c r="AE115" i="12" s="1"/>
  <c r="AA287" i="12"/>
  <c r="AE287" i="12" s="1"/>
  <c r="AA156" i="12"/>
  <c r="AE156" i="12" s="1"/>
  <c r="AA204" i="12"/>
  <c r="AE204" i="12" s="1"/>
  <c r="AA248" i="12"/>
  <c r="AE248" i="12" s="1"/>
  <c r="AA158" i="12"/>
  <c r="AE158" i="12" s="1"/>
  <c r="AA250" i="12"/>
  <c r="AE250" i="12" s="1"/>
  <c r="AA257" i="12"/>
  <c r="AE257" i="12" s="1"/>
  <c r="AA124" i="12"/>
  <c r="AE124" i="12" s="1"/>
  <c r="AA234" i="12"/>
  <c r="AE234" i="12" s="1"/>
  <c r="AA105" i="12"/>
  <c r="AE105" i="12" s="1"/>
  <c r="Z245" i="12"/>
  <c r="Z175" i="12"/>
  <c r="AD175" i="12" s="1"/>
  <c r="Z231" i="12"/>
  <c r="Z86" i="12"/>
  <c r="Z191" i="12"/>
  <c r="Z184" i="12"/>
  <c r="AA38" i="12"/>
  <c r="AE38" i="12" s="1"/>
  <c r="AA270" i="12"/>
  <c r="AA107" i="12"/>
  <c r="AE107" i="12" s="1"/>
  <c r="AA191" i="12"/>
  <c r="AE191" i="12" s="1"/>
  <c r="AA180" i="12"/>
  <c r="AE180" i="12" s="1"/>
  <c r="AA63" i="12"/>
  <c r="AE63" i="12" s="1"/>
  <c r="AA285" i="12"/>
  <c r="AE285" i="12" s="1"/>
  <c r="AA274" i="12"/>
  <c r="AE274" i="12" s="1"/>
  <c r="AA104" i="12"/>
  <c r="AE104" i="12" s="1"/>
  <c r="AA284" i="12"/>
  <c r="AE284" i="12" s="1"/>
  <c r="AA59" i="12"/>
  <c r="AE59" i="12" s="1"/>
  <c r="Z248" i="12"/>
  <c r="Y62" i="12"/>
  <c r="AF62" i="12" s="1"/>
  <c r="AG62" i="12" s="1"/>
  <c r="Y87" i="12"/>
  <c r="AF87" i="12" s="1"/>
  <c r="AG87" i="12" s="1"/>
  <c r="Z164" i="12"/>
  <c r="Z256" i="12"/>
  <c r="AD256" i="12" s="1"/>
  <c r="AA54" i="12"/>
  <c r="AE54" i="12" s="1"/>
  <c r="AA25" i="12"/>
  <c r="AE25" i="12" s="1"/>
  <c r="AA155" i="12"/>
  <c r="AE155" i="12" s="1"/>
  <c r="AA146" i="12"/>
  <c r="AE146" i="12" s="1"/>
  <c r="AA220" i="12"/>
  <c r="AE220" i="12" s="1"/>
  <c r="AA91" i="12"/>
  <c r="AE91" i="12" s="1"/>
  <c r="AA45" i="12"/>
  <c r="AE45" i="12" s="1"/>
  <c r="AA228" i="12"/>
  <c r="AE228" i="12" s="1"/>
  <c r="AA148" i="12"/>
  <c r="AE148" i="12" s="1"/>
  <c r="AA64" i="12"/>
  <c r="AE64" i="12" s="1"/>
  <c r="AA97" i="12"/>
  <c r="AE97" i="12" s="1"/>
  <c r="AA47" i="12"/>
  <c r="AE47" i="12" s="1"/>
  <c r="AA153" i="12"/>
  <c r="AE153" i="12" s="1"/>
  <c r="AA251" i="12"/>
  <c r="AE251" i="12" s="1"/>
  <c r="AA72" i="12"/>
  <c r="AA203" i="12"/>
  <c r="AE203" i="12" s="1"/>
  <c r="AA283" i="12"/>
  <c r="AE283" i="12" s="1"/>
  <c r="AA275" i="12"/>
  <c r="Z51" i="12"/>
  <c r="AD51" i="12" s="1"/>
  <c r="Z160" i="12"/>
  <c r="AD160" i="12" s="1"/>
  <c r="Z234" i="12"/>
  <c r="AD234" i="12" s="1"/>
  <c r="Z96" i="12"/>
  <c r="AD96" i="12" s="1"/>
  <c r="AA37" i="12"/>
  <c r="AE37" i="12" s="1"/>
  <c r="AA249" i="12"/>
  <c r="AE249" i="12" s="1"/>
  <c r="AA118" i="12"/>
  <c r="AE118" i="12" s="1"/>
  <c r="AA279" i="12"/>
  <c r="AE279" i="12" s="1"/>
  <c r="AA93" i="12"/>
  <c r="AE93" i="12" s="1"/>
  <c r="AA40" i="12"/>
  <c r="AE40" i="12" s="1"/>
  <c r="AA90" i="12"/>
  <c r="AE90" i="12" s="1"/>
  <c r="AA263" i="12"/>
  <c r="AE263" i="12" s="1"/>
  <c r="AA48" i="12"/>
  <c r="AE48" i="12" s="1"/>
  <c r="Z48" i="12"/>
  <c r="AD48" i="12" s="1"/>
  <c r="AA235" i="12"/>
  <c r="AE235" i="12" s="1"/>
  <c r="AA183" i="12"/>
  <c r="AE183" i="12" s="1"/>
  <c r="Z279" i="12"/>
  <c r="AA120" i="12"/>
  <c r="AE120" i="12" s="1"/>
  <c r="AA165" i="12"/>
  <c r="AE165" i="12" s="1"/>
  <c r="AA209" i="12"/>
  <c r="AE209" i="12" s="1"/>
  <c r="AA147" i="12"/>
  <c r="AE147" i="12" s="1"/>
  <c r="AA172" i="12"/>
  <c r="AE172" i="12" s="1"/>
  <c r="AA23" i="12"/>
  <c r="AE23" i="12" s="1"/>
  <c r="AA224" i="12"/>
  <c r="AE224" i="12" s="1"/>
  <c r="AA301" i="12"/>
  <c r="AE301" i="12" s="1"/>
  <c r="AA171" i="12"/>
  <c r="AE171" i="12" s="1"/>
  <c r="AA52" i="12"/>
  <c r="AE52" i="12" s="1"/>
  <c r="AA303" i="12"/>
  <c r="AE303" i="12" s="1"/>
  <c r="AA254" i="12"/>
  <c r="AE254" i="12" s="1"/>
  <c r="L86" i="19" l="1"/>
  <c r="M86" i="19" s="1"/>
  <c r="L92" i="19"/>
  <c r="M92" i="19" s="1"/>
  <c r="L115" i="19"/>
  <c r="M115" i="19" s="1"/>
  <c r="L113" i="19"/>
  <c r="M113" i="19" s="1"/>
  <c r="L114" i="19"/>
  <c r="M114" i="19" s="1"/>
  <c r="L105" i="19"/>
  <c r="M105" i="19" s="1"/>
  <c r="L85" i="15"/>
  <c r="L126" i="15"/>
  <c r="M126" i="15" s="1"/>
  <c r="L124" i="15"/>
  <c r="M124" i="15" s="1"/>
  <c r="L125" i="15"/>
  <c r="M125" i="15" s="1"/>
  <c r="L122" i="15"/>
  <c r="M122" i="15" s="1"/>
  <c r="Z210" i="12"/>
  <c r="AD210" i="12" s="1"/>
  <c r="Z166" i="12"/>
  <c r="AD166" i="12" s="1"/>
  <c r="Z45" i="12"/>
  <c r="AD45" i="12" s="1"/>
  <c r="Z202" i="12"/>
  <c r="AD202" i="12" s="1"/>
  <c r="Z30" i="12"/>
  <c r="AD30" i="12" s="1"/>
  <c r="Z38" i="12"/>
  <c r="AD38" i="12" s="1"/>
  <c r="Z275" i="12"/>
  <c r="AD275" i="12" s="1"/>
  <c r="Z206" i="12"/>
  <c r="AD206" i="12" s="1"/>
  <c r="Z118" i="12"/>
  <c r="AD118" i="12" s="1"/>
  <c r="Z80" i="12"/>
  <c r="AD80" i="12" s="1"/>
  <c r="Z77" i="12"/>
  <c r="AD77" i="12" s="1"/>
  <c r="Z168" i="12"/>
  <c r="AD168" i="12" s="1"/>
  <c r="Z104" i="12"/>
  <c r="AD104" i="12" s="1"/>
  <c r="Z263" i="12"/>
  <c r="AD263" i="12" s="1"/>
  <c r="Z84" i="12"/>
  <c r="AD84" i="12" s="1"/>
  <c r="Z32" i="12"/>
  <c r="AD32" i="12" s="1"/>
  <c r="Z204" i="12"/>
  <c r="AD204" i="12" s="1"/>
  <c r="Z224" i="12"/>
  <c r="AD224" i="12" s="1"/>
  <c r="Z98" i="12"/>
  <c r="AD98" i="12" s="1"/>
  <c r="Z217" i="12"/>
  <c r="AD217" i="12" s="1"/>
  <c r="Z60" i="12"/>
  <c r="AD60" i="12" s="1"/>
  <c r="Z207" i="12"/>
  <c r="AD207" i="12" s="1"/>
  <c r="Z36" i="12"/>
  <c r="AD36" i="12" s="1"/>
  <c r="Z307" i="12"/>
  <c r="AD307" i="12" s="1"/>
  <c r="Z265" i="12"/>
  <c r="AD265" i="12" s="1"/>
  <c r="Z139" i="12"/>
  <c r="AD139" i="12" s="1"/>
  <c r="Z292" i="12"/>
  <c r="AD292" i="12" s="1"/>
  <c r="Z61" i="12"/>
  <c r="AD61" i="12" s="1"/>
  <c r="Z57" i="12"/>
  <c r="AD57" i="12" s="1"/>
  <c r="AA150" i="12"/>
  <c r="AE150" i="12" s="1"/>
  <c r="Z237" i="12"/>
  <c r="AD237" i="12" s="1"/>
  <c r="Z156" i="12"/>
  <c r="AD156" i="12" s="1"/>
  <c r="Z277" i="12"/>
  <c r="AD277" i="12" s="1"/>
  <c r="Z201" i="12"/>
  <c r="AD201" i="12" s="1"/>
  <c r="Z235" i="12"/>
  <c r="AD235" i="12" s="1"/>
  <c r="Z259" i="12"/>
  <c r="AD259" i="12" s="1"/>
  <c r="Z130" i="12"/>
  <c r="AD130" i="12" s="1"/>
  <c r="Z102" i="12"/>
  <c r="AD102" i="12" s="1"/>
  <c r="AA192" i="12"/>
  <c r="AE192" i="12" s="1"/>
  <c r="AA273" i="12"/>
  <c r="AE273" i="12" s="1"/>
  <c r="AA162" i="12"/>
  <c r="AE162" i="12" s="1"/>
  <c r="AA253" i="12"/>
  <c r="AE253" i="12" s="1"/>
  <c r="Y114" i="12"/>
  <c r="AB114" i="12" s="1"/>
  <c r="AC114" i="12" s="1"/>
  <c r="Z193" i="12"/>
  <c r="AD193" i="12" s="1"/>
  <c r="K44" i="18"/>
  <c r="Z72" i="12"/>
  <c r="AD72" i="12" s="1"/>
  <c r="Z23" i="12"/>
  <c r="AD23" i="12" s="1"/>
  <c r="Z121" i="12"/>
  <c r="AD121" i="12" s="1"/>
  <c r="Z46" i="12"/>
  <c r="AD46" i="12" s="1"/>
  <c r="Z281" i="12"/>
  <c r="AD281" i="12" s="1"/>
  <c r="Z195" i="12"/>
  <c r="AD195" i="12" s="1"/>
  <c r="Z208" i="12"/>
  <c r="AD208" i="12" s="1"/>
  <c r="Z163" i="12"/>
  <c r="AD163" i="12" s="1"/>
  <c r="Z119" i="12"/>
  <c r="AD119" i="12" s="1"/>
  <c r="Z100" i="12"/>
  <c r="AD100" i="12" s="1"/>
  <c r="Z68" i="12"/>
  <c r="AD68" i="12" s="1"/>
  <c r="Z67" i="12"/>
  <c r="AD67" i="12" s="1"/>
  <c r="Z264" i="12"/>
  <c r="AD264" i="12" s="1"/>
  <c r="Z254" i="12"/>
  <c r="AD254" i="12" s="1"/>
  <c r="Z233" i="12"/>
  <c r="AD233" i="12" s="1"/>
  <c r="Z53" i="12"/>
  <c r="AD53" i="12" s="1"/>
  <c r="Z270" i="12"/>
  <c r="AD270" i="12" s="1"/>
  <c r="Z250" i="12"/>
  <c r="AD250" i="12" s="1"/>
  <c r="Z47" i="12"/>
  <c r="AD47" i="12" s="1"/>
  <c r="Z92" i="12"/>
  <c r="AD92" i="12" s="1"/>
  <c r="Z146" i="12"/>
  <c r="AD146" i="12" s="1"/>
  <c r="Z197" i="12"/>
  <c r="AD197" i="12" s="1"/>
  <c r="Z276" i="12"/>
  <c r="AD276" i="12" s="1"/>
  <c r="Z190" i="12"/>
  <c r="AD190" i="12" s="1"/>
  <c r="Z74" i="12"/>
  <c r="AD74" i="12" s="1"/>
  <c r="Z241" i="12"/>
  <c r="AD241" i="12" s="1"/>
  <c r="Z66" i="12"/>
  <c r="AD66" i="12" s="1"/>
  <c r="Z212" i="12"/>
  <c r="AD212" i="12" s="1"/>
  <c r="Z261" i="12"/>
  <c r="AD261" i="12" s="1"/>
  <c r="Z24" i="12"/>
  <c r="AD24" i="12" s="1"/>
  <c r="Z56" i="12"/>
  <c r="AD56" i="12" s="1"/>
  <c r="Z93" i="12"/>
  <c r="AD93" i="12" s="1"/>
  <c r="Z158" i="12"/>
  <c r="AD158" i="12" s="1"/>
  <c r="Z238" i="12"/>
  <c r="AD238" i="12" s="1"/>
  <c r="Z223" i="12"/>
  <c r="AD223" i="12" s="1"/>
  <c r="Z176" i="12"/>
  <c r="AD176" i="12" s="1"/>
  <c r="Z95" i="12"/>
  <c r="AD95" i="12" s="1"/>
  <c r="K103" i="1"/>
  <c r="Z155" i="12"/>
  <c r="AD155" i="12" s="1"/>
  <c r="Z99" i="12"/>
  <c r="AD99" i="12" s="1"/>
  <c r="Z296" i="12"/>
  <c r="AD296" i="12" s="1"/>
  <c r="Z42" i="12"/>
  <c r="AD42" i="12" s="1"/>
  <c r="Z306" i="12"/>
  <c r="AD306" i="12" s="1"/>
  <c r="Z69" i="12"/>
  <c r="AD69" i="12" s="1"/>
  <c r="Z54" i="12"/>
  <c r="AD54" i="12" s="1"/>
  <c r="Z142" i="12"/>
  <c r="AD142" i="12" s="1"/>
  <c r="Z260" i="12"/>
  <c r="AD260" i="12" s="1"/>
  <c r="Z28" i="12"/>
  <c r="AD28" i="12" s="1"/>
  <c r="Z242" i="12"/>
  <c r="AD242" i="12" s="1"/>
  <c r="Z33" i="12"/>
  <c r="AD33" i="12" s="1"/>
  <c r="Z198" i="12"/>
  <c r="AD198" i="12" s="1"/>
  <c r="Z144" i="12"/>
  <c r="AD144" i="12" s="1"/>
  <c r="AB87" i="12"/>
  <c r="AC87" i="12" s="1"/>
  <c r="AA219" i="12"/>
  <c r="AE219" i="12" s="1"/>
  <c r="AA286" i="12"/>
  <c r="AE286" i="12" s="1"/>
  <c r="AA181" i="12"/>
  <c r="AE181" i="12" s="1"/>
  <c r="AA206" i="12"/>
  <c r="AE206" i="12" s="1"/>
  <c r="AA69" i="12"/>
  <c r="AE69" i="12" s="1"/>
  <c r="AA269" i="12"/>
  <c r="AE269" i="12" s="1"/>
  <c r="AA79" i="12"/>
  <c r="AE79" i="12" s="1"/>
  <c r="AA61" i="12"/>
  <c r="AE61" i="12" s="1"/>
  <c r="AA123" i="12"/>
  <c r="AE123" i="12" s="1"/>
  <c r="AA26" i="12"/>
  <c r="AE26" i="12" s="1"/>
  <c r="AA163" i="12"/>
  <c r="AE163" i="12" s="1"/>
  <c r="AA137" i="12"/>
  <c r="AE137" i="12" s="1"/>
  <c r="AA149" i="12"/>
  <c r="AE149" i="12" s="1"/>
  <c r="AA166" i="12"/>
  <c r="AE166" i="12" s="1"/>
  <c r="AA245" i="12"/>
  <c r="AE245" i="12" s="1"/>
  <c r="AA122" i="12"/>
  <c r="AE122" i="12" s="1"/>
  <c r="AA21" i="12"/>
  <c r="AE21" i="12" s="1"/>
  <c r="AA83" i="12"/>
  <c r="AE83" i="12" s="1"/>
  <c r="AA265" i="12"/>
  <c r="AE265" i="12" s="1"/>
  <c r="AA75" i="12"/>
  <c r="AE75" i="12" s="1"/>
  <c r="AA186" i="12"/>
  <c r="AE186" i="12" s="1"/>
  <c r="AA210" i="12"/>
  <c r="AE210" i="12" s="1"/>
  <c r="AA144" i="12"/>
  <c r="AE144" i="12" s="1"/>
  <c r="AA170" i="12"/>
  <c r="AE170" i="12" s="1"/>
  <c r="AA114" i="12"/>
  <c r="AE114" i="12" s="1"/>
  <c r="AA28" i="12"/>
  <c r="AE28" i="12" s="1"/>
  <c r="AA262" i="12"/>
  <c r="AE262" i="12" s="1"/>
  <c r="AA57" i="12"/>
  <c r="AE57" i="12" s="1"/>
  <c r="AA295" i="12"/>
  <c r="AE295" i="12" s="1"/>
  <c r="AA35" i="12"/>
  <c r="AE35" i="12" s="1"/>
  <c r="AA157" i="12"/>
  <c r="AE157" i="12" s="1"/>
  <c r="AA141" i="12"/>
  <c r="AE141" i="12" s="1"/>
  <c r="AA307" i="12"/>
  <c r="AE307" i="12" s="1"/>
  <c r="AA306" i="12"/>
  <c r="AE306" i="12" s="1"/>
  <c r="L110" i="19"/>
  <c r="M110" i="19" s="1"/>
  <c r="AB190" i="12"/>
  <c r="AC190" i="12" s="1"/>
  <c r="AA174" i="12"/>
  <c r="AE174" i="12" s="1"/>
  <c r="AA267" i="12"/>
  <c r="AE267" i="12" s="1"/>
  <c r="AA143" i="12"/>
  <c r="AE143" i="12" s="1"/>
  <c r="AA294" i="12"/>
  <c r="AE294" i="12" s="1"/>
  <c r="AA167" i="12"/>
  <c r="AE167" i="12" s="1"/>
  <c r="AA22" i="12"/>
  <c r="AE22" i="12" s="1"/>
  <c r="AA198" i="12"/>
  <c r="AE198" i="12" s="1"/>
  <c r="AA74" i="12"/>
  <c r="AE74" i="12" s="1"/>
  <c r="Z145" i="12"/>
  <c r="AD145" i="12" s="1"/>
  <c r="AA80" i="12"/>
  <c r="AE80" i="12" s="1"/>
  <c r="AA133" i="12"/>
  <c r="AE133" i="12" s="1"/>
  <c r="Z44" i="12"/>
  <c r="AD44" i="12" s="1"/>
  <c r="C48" i="1"/>
  <c r="D48" i="1"/>
  <c r="AA308" i="12"/>
  <c r="AE308" i="12" s="1"/>
  <c r="AA99" i="12"/>
  <c r="AE99" i="12" s="1"/>
  <c r="AA49" i="12"/>
  <c r="AE49" i="12" s="1"/>
  <c r="AA259" i="12"/>
  <c r="AE259" i="12" s="1"/>
  <c r="AA292" i="12"/>
  <c r="AE292" i="12" s="1"/>
  <c r="AA50" i="12"/>
  <c r="AE50" i="12" s="1"/>
  <c r="AA100" i="12"/>
  <c r="AE100" i="12" s="1"/>
  <c r="AA159" i="12"/>
  <c r="AE159" i="12" s="1"/>
  <c r="AA89" i="12"/>
  <c r="AE89" i="12" s="1"/>
  <c r="AA272" i="12"/>
  <c r="AE272" i="12" s="1"/>
  <c r="AA242" i="12"/>
  <c r="AE242" i="12" s="1"/>
  <c r="AA184" i="12"/>
  <c r="AE184" i="12" s="1"/>
  <c r="AA169" i="12"/>
  <c r="AE169" i="12" s="1"/>
  <c r="AA201" i="12"/>
  <c r="AE201" i="12" s="1"/>
  <c r="AA282" i="12"/>
  <c r="AE282" i="12" s="1"/>
  <c r="G23" i="2"/>
  <c r="AA108" i="12"/>
  <c r="AE108" i="12" s="1"/>
  <c r="AA119" i="12"/>
  <c r="AE119" i="12" s="1"/>
  <c r="AA299" i="12"/>
  <c r="AE299" i="12" s="1"/>
  <c r="AA187" i="12"/>
  <c r="AE187" i="12" s="1"/>
  <c r="AA247" i="12"/>
  <c r="AE247" i="12" s="1"/>
  <c r="AA111" i="12"/>
  <c r="AE111" i="12" s="1"/>
  <c r="AA255" i="12"/>
  <c r="AE255" i="12" s="1"/>
  <c r="AA185" i="12"/>
  <c r="AE185" i="12" s="1"/>
  <c r="AA109" i="12"/>
  <c r="AE109" i="12" s="1"/>
  <c r="AA304" i="12"/>
  <c r="AE304" i="12" s="1"/>
  <c r="AA125" i="12"/>
  <c r="AE125" i="12" s="1"/>
  <c r="AA33" i="12"/>
  <c r="AE33" i="12" s="1"/>
  <c r="AA73" i="12"/>
  <c r="AE73" i="12" s="1"/>
  <c r="AA39" i="12"/>
  <c r="AE39" i="12" s="1"/>
  <c r="AA113" i="12"/>
  <c r="AE113" i="12" s="1"/>
  <c r="AA30" i="12"/>
  <c r="AE30" i="12" s="1"/>
  <c r="AA230" i="12"/>
  <c r="AE230" i="12" s="1"/>
  <c r="AA117" i="12"/>
  <c r="AE117" i="12" s="1"/>
  <c r="AA145" i="12"/>
  <c r="AE145" i="12" s="1"/>
  <c r="M74" i="19"/>
  <c r="L103" i="19"/>
  <c r="M103" i="19" s="1"/>
  <c r="AA188" i="12"/>
  <c r="AE188" i="12" s="1"/>
  <c r="AA280" i="12"/>
  <c r="AE280" i="12" s="1"/>
  <c r="AA81" i="12"/>
  <c r="AE81" i="12" s="1"/>
  <c r="AA86" i="12"/>
  <c r="AE86" i="12" s="1"/>
  <c r="AA212" i="12"/>
  <c r="AE212" i="12" s="1"/>
  <c r="AA131" i="12"/>
  <c r="AE131" i="12" s="1"/>
  <c r="AA278" i="12"/>
  <c r="AE278" i="12" s="1"/>
  <c r="AA197" i="12"/>
  <c r="AE197" i="12" s="1"/>
  <c r="Z101" i="12"/>
  <c r="AD101" i="12" s="1"/>
  <c r="AA305" i="12"/>
  <c r="AE305" i="12" s="1"/>
  <c r="AA84" i="12"/>
  <c r="AE84" i="12" s="1"/>
  <c r="Z25" i="12"/>
  <c r="AD25" i="12" s="1"/>
  <c r="AA238" i="12"/>
  <c r="AE238" i="12" s="1"/>
  <c r="B21" i="9"/>
  <c r="AA211" i="12"/>
  <c r="AE211" i="12" s="1"/>
  <c r="AA241" i="12"/>
  <c r="AE241" i="12" s="1"/>
  <c r="AA288" i="12"/>
  <c r="AE288" i="12" s="1"/>
  <c r="AA94" i="12"/>
  <c r="AE94" i="12" s="1"/>
  <c r="AA208" i="12"/>
  <c r="AE208" i="12" s="1"/>
  <c r="AA252" i="12"/>
  <c r="AE252" i="12" s="1"/>
  <c r="AA200" i="12"/>
  <c r="AE200" i="12" s="1"/>
  <c r="AA260" i="12"/>
  <c r="AE260" i="12" s="1"/>
  <c r="AA95" i="12"/>
  <c r="AE95" i="12" s="1"/>
  <c r="AA202" i="12"/>
  <c r="AE202" i="12" s="1"/>
  <c r="AA127" i="12"/>
  <c r="AE127" i="12" s="1"/>
  <c r="AA227" i="12"/>
  <c r="AE227" i="12" s="1"/>
  <c r="AA264" i="12"/>
  <c r="AE264" i="12" s="1"/>
  <c r="AA297" i="12"/>
  <c r="AE297" i="12" s="1"/>
  <c r="AA102" i="12"/>
  <c r="AE102" i="12" s="1"/>
  <c r="AA229" i="12"/>
  <c r="AE229" i="12" s="1"/>
  <c r="AA71" i="12"/>
  <c r="AE71" i="12" s="1"/>
  <c r="AA195" i="12"/>
  <c r="AE195" i="12" s="1"/>
  <c r="AA112" i="12"/>
  <c r="AE112" i="12" s="1"/>
  <c r="AA302" i="12"/>
  <c r="AE302" i="12" s="1"/>
  <c r="AA190" i="12"/>
  <c r="AE190" i="12" s="1"/>
  <c r="AA43" i="12"/>
  <c r="AE43" i="12" s="1"/>
  <c r="AA232" i="12"/>
  <c r="AE232" i="12" s="1"/>
  <c r="AA258" i="12"/>
  <c r="AE258" i="12" s="1"/>
  <c r="AA44" i="12"/>
  <c r="AE44" i="12" s="1"/>
  <c r="G24" i="2"/>
  <c r="L89" i="19"/>
  <c r="M89" i="19" s="1"/>
  <c r="L81" i="19"/>
  <c r="M81" i="19" s="1"/>
  <c r="AA132" i="12"/>
  <c r="AE132" i="12" s="1"/>
  <c r="AA231" i="12"/>
  <c r="AE231" i="12" s="1"/>
  <c r="AA281" i="12"/>
  <c r="AE281" i="12" s="1"/>
  <c r="AA196" i="12"/>
  <c r="AE196" i="12" s="1"/>
  <c r="AA65" i="12"/>
  <c r="AE65" i="12" s="1"/>
  <c r="AA56" i="12"/>
  <c r="AE56" i="12" s="1"/>
  <c r="AA82" i="12"/>
  <c r="AE82" i="12" s="1"/>
  <c r="AA175" i="12"/>
  <c r="AE175" i="12" s="1"/>
  <c r="AA291" i="12"/>
  <c r="AE291" i="12" s="1"/>
  <c r="AA266" i="12"/>
  <c r="AE266" i="12" s="1"/>
  <c r="AA138" i="12"/>
  <c r="AE138" i="12" s="1"/>
  <c r="AA70" i="12"/>
  <c r="AE70" i="12" s="1"/>
  <c r="AA221" i="12"/>
  <c r="AE221" i="12" s="1"/>
  <c r="AA134" i="12"/>
  <c r="AE134" i="12" s="1"/>
  <c r="AA296" i="12"/>
  <c r="AE296" i="12" s="1"/>
  <c r="L90" i="19"/>
  <c r="M90" i="19" s="1"/>
  <c r="L104" i="19"/>
  <c r="M104" i="19" s="1"/>
  <c r="AA101" i="12"/>
  <c r="AE101" i="12" s="1"/>
  <c r="AA68" i="12"/>
  <c r="AE68" i="12" s="1"/>
  <c r="AA213" i="12"/>
  <c r="AE213" i="12" s="1"/>
  <c r="AA189" i="12"/>
  <c r="AE189" i="12" s="1"/>
  <c r="AA214" i="12"/>
  <c r="AE214" i="12" s="1"/>
  <c r="AA161" i="12"/>
  <c r="AE161" i="12" s="1"/>
  <c r="AA199" i="12"/>
  <c r="AE199" i="12" s="1"/>
  <c r="AA293" i="12"/>
  <c r="AE293" i="12" s="1"/>
  <c r="AA179" i="12"/>
  <c r="AE179" i="12" s="1"/>
  <c r="AA193" i="12"/>
  <c r="AE193" i="12" s="1"/>
  <c r="Y146" i="12"/>
  <c r="AF146" i="12" s="1"/>
  <c r="AG146" i="12" s="1"/>
  <c r="Y198" i="12"/>
  <c r="AB198" i="12" s="1"/>
  <c r="Y225" i="12"/>
  <c r="AB225" i="12" s="1"/>
  <c r="AC225" i="12" s="1"/>
  <c r="Y106" i="12"/>
  <c r="Y287" i="12"/>
  <c r="AF287" i="12" s="1"/>
  <c r="AG287" i="12" s="1"/>
  <c r="Y211" i="12"/>
  <c r="AB211" i="12" s="1"/>
  <c r="AC211" i="12" s="1"/>
  <c r="Y238" i="12"/>
  <c r="Y67" i="12"/>
  <c r="AB67" i="12" s="1"/>
  <c r="AC67" i="12" s="1"/>
  <c r="Y123" i="12"/>
  <c r="AB123" i="12" s="1"/>
  <c r="AC123" i="12" s="1"/>
  <c r="Y107" i="12"/>
  <c r="AF107" i="12" s="1"/>
  <c r="AG107" i="12" s="1"/>
  <c r="Y214" i="12"/>
  <c r="L15" i="2"/>
  <c r="D45" i="2" s="1"/>
  <c r="Y271" i="12"/>
  <c r="AF271" i="12" s="1"/>
  <c r="Y149" i="12"/>
  <c r="AF149" i="12" s="1"/>
  <c r="AG149" i="12" s="1"/>
  <c r="A7" i="17"/>
  <c r="A3" i="4"/>
  <c r="A13" i="17"/>
  <c r="B44" i="2"/>
  <c r="D2" i="10"/>
  <c r="B7" i="2" s="1"/>
  <c r="L123" i="15"/>
  <c r="M123" i="15" s="1"/>
  <c r="L11" i="19"/>
  <c r="L116" i="15"/>
  <c r="M116" i="15" s="1"/>
  <c r="L115" i="15"/>
  <c r="M115" i="15" s="1"/>
  <c r="AF207" i="12"/>
  <c r="AG207" i="12" s="1"/>
  <c r="AB207" i="12"/>
  <c r="AC207" i="12" s="1"/>
  <c r="L112" i="19"/>
  <c r="M112" i="19" s="1"/>
  <c r="L91" i="19"/>
  <c r="M91" i="19" s="1"/>
  <c r="AF67" i="12"/>
  <c r="AG67" i="12" s="1"/>
  <c r="AA34" i="12"/>
  <c r="AE34" i="12" s="1"/>
  <c r="AA62" i="12"/>
  <c r="AE62" i="12" s="1"/>
  <c r="AA178" i="12"/>
  <c r="AE178" i="12" s="1"/>
  <c r="AA130" i="12"/>
  <c r="AE130" i="12" s="1"/>
  <c r="AA277" i="12"/>
  <c r="AE277" i="12" s="1"/>
  <c r="AA58" i="12"/>
  <c r="AE58" i="12" s="1"/>
  <c r="AA290" i="12"/>
  <c r="AE290" i="12" s="1"/>
  <c r="AA205" i="12"/>
  <c r="AE205" i="12" s="1"/>
  <c r="AA236" i="12"/>
  <c r="AE236" i="12" s="1"/>
  <c r="AA31" i="12"/>
  <c r="AE31" i="12" s="1"/>
  <c r="AA225" i="12"/>
  <c r="AE225" i="12" s="1"/>
  <c r="AA53" i="12"/>
  <c r="AE53" i="12" s="1"/>
  <c r="AA261" i="12"/>
  <c r="AE261" i="12" s="1"/>
  <c r="AA177" i="12"/>
  <c r="AE177" i="12" s="1"/>
  <c r="AA152" i="12"/>
  <c r="AE152" i="12" s="1"/>
  <c r="AA217" i="12"/>
  <c r="AE217" i="12" s="1"/>
  <c r="AA51" i="12"/>
  <c r="AE51" i="12" s="1"/>
  <c r="AA96" i="12"/>
  <c r="AE96" i="12" s="1"/>
  <c r="AA223" i="12"/>
  <c r="AE223" i="12" s="1"/>
  <c r="AA164" i="12"/>
  <c r="AE164" i="12" s="1"/>
  <c r="Y125" i="12"/>
  <c r="AB125" i="12" s="1"/>
  <c r="AC125" i="12" s="1"/>
  <c r="AB142" i="12"/>
  <c r="AC142" i="12" s="1"/>
  <c r="Y228" i="12"/>
  <c r="Y128" i="12"/>
  <c r="AF128" i="12" s="1"/>
  <c r="AG128" i="12" s="1"/>
  <c r="Y75" i="12"/>
  <c r="AF75" i="12" s="1"/>
  <c r="AG75" i="12" s="1"/>
  <c r="Y80" i="12"/>
  <c r="AB80" i="12" s="1"/>
  <c r="AA154" i="12"/>
  <c r="AE154" i="12" s="1"/>
  <c r="L103" i="15"/>
  <c r="M103" i="15" s="1"/>
  <c r="B20" i="9"/>
  <c r="C46" i="9"/>
  <c r="AW18" i="12"/>
  <c r="AA289" i="12"/>
  <c r="AE289" i="12" s="1"/>
  <c r="AA268" i="12"/>
  <c r="AE268" i="12" s="1"/>
  <c r="AA243" i="12"/>
  <c r="AE243" i="12" s="1"/>
  <c r="AA271" i="12"/>
  <c r="AE271" i="12" s="1"/>
  <c r="AA85" i="12"/>
  <c r="AE85" i="12" s="1"/>
  <c r="AA128" i="12"/>
  <c r="AE128" i="12" s="1"/>
  <c r="AA76" i="12"/>
  <c r="AE76" i="12" s="1"/>
  <c r="AA27" i="12"/>
  <c r="AE27" i="12" s="1"/>
  <c r="AA135" i="12"/>
  <c r="AE135" i="12" s="1"/>
  <c r="AA215" i="12"/>
  <c r="AE215" i="12" s="1"/>
  <c r="AA36" i="12"/>
  <c r="AE36" i="12" s="1"/>
  <c r="AA216" i="12"/>
  <c r="AE216" i="12" s="1"/>
  <c r="AA106" i="12"/>
  <c r="AE106" i="12" s="1"/>
  <c r="AA78" i="12"/>
  <c r="AE78" i="12" s="1"/>
  <c r="AA24" i="12"/>
  <c r="AE24" i="12" s="1"/>
  <c r="AA55" i="12"/>
  <c r="AE55" i="12" s="1"/>
  <c r="AA29" i="12"/>
  <c r="AE29" i="12" s="1"/>
  <c r="AA151" i="12"/>
  <c r="AE151" i="12" s="1"/>
  <c r="AA60" i="12"/>
  <c r="AE60" i="12" s="1"/>
  <c r="AA168" i="12"/>
  <c r="AE168" i="12" s="1"/>
  <c r="AA32" i="12"/>
  <c r="AE32" i="12" s="1"/>
  <c r="AA110" i="12"/>
  <c r="AE110" i="12" s="1"/>
  <c r="AA233" i="12"/>
  <c r="AE233" i="12" s="1"/>
  <c r="AA246" i="12"/>
  <c r="AE246" i="12" s="1"/>
  <c r="AA46" i="12"/>
  <c r="AE46" i="12" s="1"/>
  <c r="AA226" i="12"/>
  <c r="AE226" i="12" s="1"/>
  <c r="AA66" i="12"/>
  <c r="AE66" i="12" s="1"/>
  <c r="AA103" i="12"/>
  <c r="AE103" i="12" s="1"/>
  <c r="AA67" i="12"/>
  <c r="AE67" i="12" s="1"/>
  <c r="AA136" i="12"/>
  <c r="AE136" i="12" s="1"/>
  <c r="AA176" i="12"/>
  <c r="AE176" i="12" s="1"/>
  <c r="AA116" i="12"/>
  <c r="AE116" i="12" s="1"/>
  <c r="AA300" i="12"/>
  <c r="AE300" i="12" s="1"/>
  <c r="AA222" i="12"/>
  <c r="AE222" i="12" s="1"/>
  <c r="AA88" i="12"/>
  <c r="AE88" i="12" s="1"/>
  <c r="AA173" i="12"/>
  <c r="AE173" i="12" s="1"/>
  <c r="AA41" i="12"/>
  <c r="AE41" i="12" s="1"/>
  <c r="AA140" i="12"/>
  <c r="AE140" i="12" s="1"/>
  <c r="AA160" i="12"/>
  <c r="AE160" i="12" s="1"/>
  <c r="AA276" i="12"/>
  <c r="AE276" i="12" s="1"/>
  <c r="AA87" i="12"/>
  <c r="AE87" i="12" s="1"/>
  <c r="AA129" i="12"/>
  <c r="AE129" i="12" s="1"/>
  <c r="AA126" i="12"/>
  <c r="AE126" i="12" s="1"/>
  <c r="AA244" i="12"/>
  <c r="AE244" i="12" s="1"/>
  <c r="AA77" i="12"/>
  <c r="AE77" i="12" s="1"/>
  <c r="AA98" i="12"/>
  <c r="AE98" i="12" s="1"/>
  <c r="AA92" i="12"/>
  <c r="AE92" i="12" s="1"/>
  <c r="AA194" i="12"/>
  <c r="AE194" i="12" s="1"/>
  <c r="AA182" i="12"/>
  <c r="AE182" i="12" s="1"/>
  <c r="AA121" i="12"/>
  <c r="AE121" i="12" s="1"/>
  <c r="L114" i="15"/>
  <c r="M114" i="15" s="1"/>
  <c r="L97" i="15"/>
  <c r="M97" i="15" s="1"/>
  <c r="L121" i="15"/>
  <c r="M121" i="15" s="1"/>
  <c r="L101" i="15"/>
  <c r="M101" i="15" s="1"/>
  <c r="L92" i="15"/>
  <c r="M92" i="15" s="1"/>
  <c r="L100" i="15"/>
  <c r="M100" i="15" s="1"/>
  <c r="L102" i="15"/>
  <c r="M102" i="15" s="1"/>
  <c r="Y307" i="12"/>
  <c r="AB307" i="12" s="1"/>
  <c r="Y94" i="12"/>
  <c r="AF94" i="12" s="1"/>
  <c r="AG94" i="12" s="1"/>
  <c r="Y130" i="12"/>
  <c r="Y41" i="12"/>
  <c r="AB41" i="12" s="1"/>
  <c r="Y165" i="12"/>
  <c r="Y248" i="12"/>
  <c r="AF248" i="12" s="1"/>
  <c r="AG248" i="12" s="1"/>
  <c r="Y191" i="12"/>
  <c r="Y57" i="12"/>
  <c r="AB57" i="12" s="1"/>
  <c r="AC57" i="12" s="1"/>
  <c r="Y83" i="12"/>
  <c r="AB83" i="12" s="1"/>
  <c r="AC83" i="12" s="1"/>
  <c r="Y221" i="12"/>
  <c r="Y141" i="12"/>
  <c r="AB141" i="12" s="1"/>
  <c r="AC141" i="12" s="1"/>
  <c r="Y188" i="12"/>
  <c r="Y82" i="12"/>
  <c r="AF82" i="12" s="1"/>
  <c r="AG82" i="12" s="1"/>
  <c r="Y36" i="12"/>
  <c r="AF36" i="12" s="1"/>
  <c r="AG36" i="12" s="1"/>
  <c r="Y289" i="12"/>
  <c r="AF289" i="12" s="1"/>
  <c r="AG289" i="12" s="1"/>
  <c r="Y178" i="12"/>
  <c r="AF178" i="12" s="1"/>
  <c r="AG178" i="12" s="1"/>
  <c r="Y143" i="12"/>
  <c r="Y187" i="12"/>
  <c r="AB187" i="12" s="1"/>
  <c r="AC187" i="12" s="1"/>
  <c r="Y25" i="12"/>
  <c r="Y33" i="12"/>
  <c r="AB33" i="12" s="1"/>
  <c r="AC33" i="12" s="1"/>
  <c r="Y148" i="12"/>
  <c r="AB148" i="12" s="1"/>
  <c r="AC148" i="12" s="1"/>
  <c r="Y247" i="12"/>
  <c r="Y290" i="12"/>
  <c r="Y172" i="12"/>
  <c r="Y132" i="12"/>
  <c r="Y45" i="12"/>
  <c r="Y63" i="12"/>
  <c r="Y166" i="12"/>
  <c r="AB166" i="12" s="1"/>
  <c r="Y138" i="12"/>
  <c r="AB138" i="12" s="1"/>
  <c r="AC138" i="12" s="1"/>
  <c r="Y96" i="12"/>
  <c r="AB96" i="12" s="1"/>
  <c r="Y243" i="12"/>
  <c r="Y81" i="12"/>
  <c r="AF81" i="12" s="1"/>
  <c r="AG81" i="12" s="1"/>
  <c r="C5" i="10"/>
  <c r="A3" i="12"/>
  <c r="C39" i="9"/>
  <c r="Z115" i="12"/>
  <c r="AD115" i="12" s="1"/>
  <c r="Z200" i="12"/>
  <c r="AD200" i="12" s="1"/>
  <c r="Z271" i="12"/>
  <c r="AD271" i="12" s="1"/>
  <c r="Z282" i="12"/>
  <c r="AD282" i="12" s="1"/>
  <c r="Z196" i="12"/>
  <c r="AD196" i="12" s="1"/>
  <c r="Z216" i="12"/>
  <c r="AD216" i="12" s="1"/>
  <c r="C34" i="9"/>
  <c r="Z31" i="12"/>
  <c r="AD31" i="12" s="1"/>
  <c r="Z70" i="12"/>
  <c r="AD70" i="12" s="1"/>
  <c r="Z299" i="12"/>
  <c r="AD299" i="12" s="1"/>
  <c r="Z109" i="12"/>
  <c r="AD109" i="12" s="1"/>
  <c r="Z174" i="12"/>
  <c r="AD174" i="12" s="1"/>
  <c r="Z90" i="12"/>
  <c r="AD90" i="12" s="1"/>
  <c r="Z293" i="12"/>
  <c r="AD293" i="12" s="1"/>
  <c r="Z290" i="12"/>
  <c r="AD290" i="12" s="1"/>
  <c r="Z29" i="12"/>
  <c r="AD29" i="12" s="1"/>
  <c r="Z301" i="12"/>
  <c r="AD301" i="12" s="1"/>
  <c r="AF114" i="12"/>
  <c r="AG114" i="12" s="1"/>
  <c r="AD86" i="12"/>
  <c r="Z289" i="12"/>
  <c r="Z133" i="12"/>
  <c r="AD133" i="12" s="1"/>
  <c r="Z103" i="12"/>
  <c r="AD103" i="12" s="1"/>
  <c r="Z143" i="12"/>
  <c r="AD143" i="12" s="1"/>
  <c r="Z76" i="12"/>
  <c r="AD76" i="12" s="1"/>
  <c r="Z150" i="12"/>
  <c r="AD150" i="12" s="1"/>
  <c r="Z162" i="12"/>
  <c r="AD162" i="12" s="1"/>
  <c r="Z82" i="12"/>
  <c r="AD82" i="12" s="1"/>
  <c r="I15" i="15"/>
  <c r="Z87" i="12"/>
  <c r="Z21" i="12"/>
  <c r="AD21" i="12" s="1"/>
  <c r="Z106" i="12"/>
  <c r="AD106" i="12" s="1"/>
  <c r="Z300" i="12"/>
  <c r="AD300" i="12" s="1"/>
  <c r="C133" i="1"/>
  <c r="AB62" i="12"/>
  <c r="AC62" i="12" s="1"/>
  <c r="AD184" i="12"/>
  <c r="AD164" i="12"/>
  <c r="Z268" i="12"/>
  <c r="AD268" i="12" s="1"/>
  <c r="Z262" i="12"/>
  <c r="AD262" i="12" s="1"/>
  <c r="Z218" i="12"/>
  <c r="AD218" i="12" s="1"/>
  <c r="Z88" i="12"/>
  <c r="AD88" i="12" s="1"/>
  <c r="Z52" i="12"/>
  <c r="AD52" i="12" s="1"/>
  <c r="Z284" i="12"/>
  <c r="AD284" i="12" s="1"/>
  <c r="Z165" i="12"/>
  <c r="AD165" i="12" s="1"/>
  <c r="Z303" i="12"/>
  <c r="AD303" i="12" s="1"/>
  <c r="Z78" i="12"/>
  <c r="AD78" i="12" s="1"/>
  <c r="Z188" i="12"/>
  <c r="Z274" i="12"/>
  <c r="AD274" i="12" s="1"/>
  <c r="L16" i="2"/>
  <c r="B49" i="2" s="1"/>
  <c r="Z124" i="12"/>
  <c r="AD124" i="12" s="1"/>
  <c r="Z148" i="12"/>
  <c r="AD148" i="12" s="1"/>
  <c r="Z221" i="12"/>
  <c r="AD221" i="12" s="1"/>
  <c r="Z247" i="12"/>
  <c r="Z134" i="12"/>
  <c r="AD134" i="12" s="1"/>
  <c r="Z50" i="12"/>
  <c r="AD50" i="12" s="1"/>
  <c r="AB146" i="12"/>
  <c r="AC146" i="12" s="1"/>
  <c r="Z131" i="12"/>
  <c r="AD131" i="12" s="1"/>
  <c r="Z177" i="12"/>
  <c r="AD177" i="12" s="1"/>
  <c r="Z283" i="12"/>
  <c r="AD283" i="12" s="1"/>
  <c r="Z180" i="12"/>
  <c r="AD180" i="12" s="1"/>
  <c r="Z258" i="12"/>
  <c r="AD258" i="12" s="1"/>
  <c r="Z255" i="12"/>
  <c r="AD255" i="12" s="1"/>
  <c r="C36" i="9"/>
  <c r="F49" i="2"/>
  <c r="Z169" i="12"/>
  <c r="AD169" i="12" s="1"/>
  <c r="Z39" i="12"/>
  <c r="AD39" i="12" s="1"/>
  <c r="Z43" i="12"/>
  <c r="AD43" i="12" s="1"/>
  <c r="Z294" i="12"/>
  <c r="AD294" i="12" s="1"/>
  <c r="C85" i="1"/>
  <c r="Z62" i="12"/>
  <c r="AD62" i="12" s="1"/>
  <c r="Z126" i="12"/>
  <c r="AD126" i="12" s="1"/>
  <c r="Z219" i="12"/>
  <c r="AD219" i="12" s="1"/>
  <c r="Z305" i="12"/>
  <c r="AD305" i="12" s="1"/>
  <c r="Z75" i="12"/>
  <c r="AD75" i="12" s="1"/>
  <c r="Z132" i="12"/>
  <c r="AD132" i="12" s="1"/>
  <c r="C38" i="9"/>
  <c r="Z280" i="12"/>
  <c r="AD280" i="12" s="1"/>
  <c r="Z151" i="12"/>
  <c r="AD151" i="12" s="1"/>
  <c r="Z22" i="12"/>
  <c r="AD22" i="12" s="1"/>
  <c r="Z63" i="12"/>
  <c r="AD63" i="12" s="1"/>
  <c r="I79" i="19"/>
  <c r="Z116" i="12"/>
  <c r="AD116" i="12" s="1"/>
  <c r="AD191" i="12"/>
  <c r="AD248" i="12"/>
  <c r="Z182" i="12"/>
  <c r="AD182" i="12" s="1"/>
  <c r="Z113" i="12"/>
  <c r="AD113" i="12" s="1"/>
  <c r="Z267" i="12"/>
  <c r="AD267" i="12" s="1"/>
  <c r="Z178" i="12"/>
  <c r="AD178" i="12" s="1"/>
  <c r="Z278" i="12"/>
  <c r="AD278" i="12" s="1"/>
  <c r="Z110" i="12"/>
  <c r="AD110" i="12" s="1"/>
  <c r="Z91" i="12"/>
  <c r="AD91" i="12" s="1"/>
  <c r="Z243" i="12"/>
  <c r="AD243" i="12" s="1"/>
  <c r="I90" i="15"/>
  <c r="Z240" i="12"/>
  <c r="AD240" i="12" s="1"/>
  <c r="Z55" i="12"/>
  <c r="AD55" i="12" s="1"/>
  <c r="Z140" i="12"/>
  <c r="AD140" i="12" s="1"/>
  <c r="Z59" i="12"/>
  <c r="AD59" i="12" s="1"/>
  <c r="AB234" i="12"/>
  <c r="AH234" i="12" s="1"/>
  <c r="Z252" i="12"/>
  <c r="AD252" i="12" s="1"/>
  <c r="Z266" i="12"/>
  <c r="AD266" i="12" s="1"/>
  <c r="Z58" i="12"/>
  <c r="AD58" i="12" s="1"/>
  <c r="Z26" i="12"/>
  <c r="AD26" i="12" s="1"/>
  <c r="Z236" i="12"/>
  <c r="AD236" i="12" s="1"/>
  <c r="Z108" i="12"/>
  <c r="AD108" i="12" s="1"/>
  <c r="Z85" i="12"/>
  <c r="AD85" i="12" s="1"/>
  <c r="Z291" i="12"/>
  <c r="AD291" i="12" s="1"/>
  <c r="Z128" i="12"/>
  <c r="AD128" i="12" s="1"/>
  <c r="Z114" i="12"/>
  <c r="AD114" i="12" s="1"/>
  <c r="Z34" i="12"/>
  <c r="AD34" i="12" s="1"/>
  <c r="Z228" i="12"/>
  <c r="AD228" i="12" s="1"/>
  <c r="Z186" i="12"/>
  <c r="AD186" i="12" s="1"/>
  <c r="Z107" i="12"/>
  <c r="Z179" i="12"/>
  <c r="AD179" i="12" s="1"/>
  <c r="Z295" i="12"/>
  <c r="AD295" i="12" s="1"/>
  <c r="Z49" i="12"/>
  <c r="AD49" i="12" s="1"/>
  <c r="Z189" i="12"/>
  <c r="AD189" i="12" s="1"/>
  <c r="Z127" i="12"/>
  <c r="AD127" i="12" s="1"/>
  <c r="Z244" i="12"/>
  <c r="AD244" i="12" s="1"/>
  <c r="Z251" i="12"/>
  <c r="AD251" i="12" s="1"/>
  <c r="Z111" i="12"/>
  <c r="AD111" i="12" s="1"/>
  <c r="AF57" i="12"/>
  <c r="AG57" i="12" s="1"/>
  <c r="C33" i="9"/>
  <c r="E30" i="1" s="1"/>
  <c r="F30" i="1" s="1"/>
  <c r="Z273" i="12"/>
  <c r="AD273" i="12" s="1"/>
  <c r="Z192" i="12"/>
  <c r="AD192" i="12" s="1"/>
  <c r="Z89" i="12"/>
  <c r="AD89" i="12" s="1"/>
  <c r="Z246" i="12"/>
  <c r="AD246" i="12" s="1"/>
  <c r="Z209" i="12"/>
  <c r="AD209" i="12" s="1"/>
  <c r="Z287" i="12"/>
  <c r="AD287" i="12" s="1"/>
  <c r="Z41" i="12"/>
  <c r="AD41" i="12" s="1"/>
  <c r="Z230" i="12"/>
  <c r="AD230" i="12" s="1"/>
  <c r="Z136" i="12"/>
  <c r="AD136" i="12" s="1"/>
  <c r="R9" i="12"/>
  <c r="Q9" i="12"/>
  <c r="AB25" i="12"/>
  <c r="AF25" i="12"/>
  <c r="AG25" i="12" s="1"/>
  <c r="AE275" i="12"/>
  <c r="AD231" i="12"/>
  <c r="AB82" i="12"/>
  <c r="AF307" i="12"/>
  <c r="AG307" i="12" s="1"/>
  <c r="AB227" i="12"/>
  <c r="AC227" i="12" s="1"/>
  <c r="AF227" i="12"/>
  <c r="AG227" i="12" s="1"/>
  <c r="AF198" i="12"/>
  <c r="AG198" i="12" s="1"/>
  <c r="AB60" i="12"/>
  <c r="AC60" i="12" s="1"/>
  <c r="AF60" i="12"/>
  <c r="AG60" i="12" s="1"/>
  <c r="M17" i="4"/>
  <c r="M18" i="4"/>
  <c r="M10" i="4"/>
  <c r="M11" i="4"/>
  <c r="M13" i="4"/>
  <c r="M14" i="4"/>
  <c r="M12" i="4"/>
  <c r="M15" i="4"/>
  <c r="M16" i="4"/>
  <c r="AE72" i="12"/>
  <c r="AB289" i="12"/>
  <c r="AC289" i="12" s="1"/>
  <c r="AF238" i="12"/>
  <c r="AG238" i="12" s="1"/>
  <c r="AB238" i="12"/>
  <c r="AC238" i="12" s="1"/>
  <c r="AE270" i="12"/>
  <c r="AB245" i="12"/>
  <c r="AC245" i="12" s="1"/>
  <c r="AF245" i="12"/>
  <c r="AG245" i="12" s="1"/>
  <c r="AB89" i="12"/>
  <c r="AF89" i="12"/>
  <c r="AG89" i="12" s="1"/>
  <c r="AB271" i="12"/>
  <c r="M19" i="4"/>
  <c r="AB243" i="12"/>
  <c r="AF243" i="12"/>
  <c r="AG243" i="12" s="1"/>
  <c r="AD279" i="12"/>
  <c r="AD245" i="12"/>
  <c r="AF166" i="12"/>
  <c r="AG166" i="12" s="1"/>
  <c r="AB172" i="12"/>
  <c r="AC172" i="12" s="1"/>
  <c r="AF172" i="12"/>
  <c r="AG172" i="12" s="1"/>
  <c r="AB81" i="12"/>
  <c r="AC81" i="12" s="1"/>
  <c r="AD138" i="12"/>
  <c r="AB128" i="12"/>
  <c r="Y154" i="12"/>
  <c r="Y266" i="12"/>
  <c r="Y254" i="12"/>
  <c r="Y298" i="12"/>
  <c r="Y217" i="12"/>
  <c r="Y151" i="12"/>
  <c r="Y296" i="12"/>
  <c r="Y65" i="12"/>
  <c r="Y256" i="12"/>
  <c r="Y111" i="12"/>
  <c r="Y103" i="12"/>
  <c r="Y229" i="12"/>
  <c r="Y135" i="12"/>
  <c r="Y283" i="12"/>
  <c r="Y109" i="12"/>
  <c r="Y119" i="12"/>
  <c r="Y93" i="12"/>
  <c r="Y246" i="12"/>
  <c r="Y224" i="12"/>
  <c r="Y91" i="12"/>
  <c r="Y182" i="12"/>
  <c r="Y113" i="12"/>
  <c r="Y236" i="12"/>
  <c r="Y39" i="12"/>
  <c r="Y70" i="12"/>
  <c r="Y275" i="12"/>
  <c r="Y99" i="12"/>
  <c r="Y150" i="12"/>
  <c r="Y110" i="12"/>
  <c r="Y120" i="12"/>
  <c r="Y253" i="12"/>
  <c r="Y136" i="12"/>
  <c r="Y52" i="12"/>
  <c r="Y134" i="12"/>
  <c r="Y174" i="12"/>
  <c r="Y240" i="12"/>
  <c r="Y257" i="12"/>
  <c r="Y199" i="12"/>
  <c r="Y259" i="12"/>
  <c r="Y219" i="12"/>
  <c r="Y280" i="12"/>
  <c r="Y26" i="12"/>
  <c r="Y216" i="12"/>
  <c r="Y161" i="12"/>
  <c r="L77" i="1"/>
  <c r="Y200" i="12"/>
  <c r="Y306" i="12"/>
  <c r="Y202" i="12"/>
  <c r="Y223" i="12"/>
  <c r="Y76" i="12"/>
  <c r="Y47" i="12"/>
  <c r="Y267" i="12"/>
  <c r="Y299" i="12"/>
  <c r="Y61" i="12"/>
  <c r="Y126" i="12"/>
  <c r="Y112" i="12"/>
  <c r="Y29" i="12"/>
  <c r="Y59" i="12"/>
  <c r="Y265" i="12"/>
  <c r="Y21" i="12"/>
  <c r="Y118" i="12"/>
  <c r="Y235" i="12"/>
  <c r="Y85" i="12"/>
  <c r="Y292" i="12"/>
  <c r="Y241" i="12"/>
  <c r="Y194" i="12"/>
  <c r="Y273" i="12"/>
  <c r="Y38" i="12"/>
  <c r="Y79" i="12"/>
  <c r="Y285" i="12"/>
  <c r="Y272" i="12"/>
  <c r="Y158" i="12"/>
  <c r="M12" i="19"/>
  <c r="L51" i="19" s="1"/>
  <c r="Y212" i="12"/>
  <c r="Y270" i="12"/>
  <c r="Y195" i="12"/>
  <c r="Y49" i="12"/>
  <c r="Y117" i="12"/>
  <c r="Y258" i="12"/>
  <c r="Y206" i="12"/>
  <c r="Y48" i="12"/>
  <c r="Y170" i="12"/>
  <c r="Y58" i="12"/>
  <c r="Y69" i="12"/>
  <c r="Y68" i="12"/>
  <c r="Y215" i="12"/>
  <c r="Y104" i="12"/>
  <c r="Y78" i="12"/>
  <c r="Y249" i="12"/>
  <c r="Y139" i="12"/>
  <c r="Y176" i="12"/>
  <c r="Y177" i="12"/>
  <c r="Y42" i="12"/>
  <c r="Y157" i="12"/>
  <c r="Y137" i="12"/>
  <c r="Y260" i="12"/>
  <c r="Y66" i="12"/>
  <c r="Y173" i="12"/>
  <c r="Y244" i="12"/>
  <c r="Y250" i="12"/>
  <c r="Y46" i="12"/>
  <c r="Y129" i="12"/>
  <c r="Y175" i="12"/>
  <c r="Y262" i="12"/>
  <c r="Y282" i="12"/>
  <c r="L18" i="18"/>
  <c r="Y284" i="12"/>
  <c r="Y152" i="12"/>
  <c r="Y162" i="12"/>
  <c r="Y88" i="12"/>
  <c r="Y222" i="12"/>
  <c r="Y50" i="12"/>
  <c r="Y140" i="12"/>
  <c r="Y230" i="12"/>
  <c r="Y156" i="12"/>
  <c r="Y56" i="12"/>
  <c r="Y183" i="12"/>
  <c r="Y294" i="12"/>
  <c r="Y278" i="12"/>
  <c r="Y213" i="12"/>
  <c r="Y28" i="12"/>
  <c r="Y102" i="12"/>
  <c r="Y218" i="12"/>
  <c r="Y131" i="12"/>
  <c r="Y180" i="12"/>
  <c r="Y297" i="12"/>
  <c r="Y32" i="12"/>
  <c r="Y181" i="12"/>
  <c r="Y261" i="12"/>
  <c r="Y192" i="12"/>
  <c r="Y308" i="12"/>
  <c r="M86" i="15"/>
  <c r="Y251" i="12"/>
  <c r="Y124" i="12"/>
  <c r="Y24" i="12"/>
  <c r="Y186" i="12"/>
  <c r="Y169" i="12"/>
  <c r="Y184" i="12"/>
  <c r="Y100" i="12"/>
  <c r="Y144" i="12"/>
  <c r="Y164" i="12"/>
  <c r="Y98" i="12"/>
  <c r="Y193" i="12"/>
  <c r="Y210" i="12"/>
  <c r="Y277" i="12"/>
  <c r="Y72" i="12"/>
  <c r="Y279" i="12"/>
  <c r="Y92" i="12"/>
  <c r="Y168" i="12"/>
  <c r="Y145" i="12"/>
  <c r="Y22" i="12"/>
  <c r="Y201" i="12"/>
  <c r="Y179" i="12"/>
  <c r="Y44" i="12"/>
  <c r="Y35" i="12"/>
  <c r="Y274" i="12"/>
  <c r="Y27" i="12"/>
  <c r="Y51" i="12"/>
  <c r="Y64" i="12"/>
  <c r="Y237" i="12"/>
  <c r="Y55" i="12"/>
  <c r="Y286" i="12"/>
  <c r="Y43" i="12"/>
  <c r="Y232" i="12"/>
  <c r="Y90" i="12"/>
  <c r="L11" i="17"/>
  <c r="Y53" i="12"/>
  <c r="Y54" i="12"/>
  <c r="Y74" i="12"/>
  <c r="Y220" i="12"/>
  <c r="Y30" i="12"/>
  <c r="Y37" i="12"/>
  <c r="Y196" i="12"/>
  <c r="Y115" i="12"/>
  <c r="Y73" i="12"/>
  <c r="Y133" i="12"/>
  <c r="Y147" i="12"/>
  <c r="Y197" i="12"/>
  <c r="Y77" i="12"/>
  <c r="Y95" i="12"/>
  <c r="Y167" i="12"/>
  <c r="Y171" i="12"/>
  <c r="Y208" i="12"/>
  <c r="M75" i="19"/>
  <c r="Y40" i="12"/>
  <c r="Y293" i="12"/>
  <c r="M11" i="15"/>
  <c r="L104" i="15" s="1"/>
  <c r="Y233" i="12"/>
  <c r="Y276" i="12"/>
  <c r="Y281" i="12"/>
  <c r="Y226" i="12"/>
  <c r="Y268" i="12"/>
  <c r="Y97" i="12"/>
  <c r="Y303" i="12"/>
  <c r="L15" i="1"/>
  <c r="Y264" i="12"/>
  <c r="Y295" i="12"/>
  <c r="Y71" i="12"/>
  <c r="Y153" i="12"/>
  <c r="Y300" i="12"/>
  <c r="Y203" i="12"/>
  <c r="Y291" i="12"/>
  <c r="Y122" i="12"/>
  <c r="Y116" i="12"/>
  <c r="Y84" i="12"/>
  <c r="Y101" i="12"/>
  <c r="Y163" i="12"/>
  <c r="Y127" i="12"/>
  <c r="Y155" i="12"/>
  <c r="Y160" i="12"/>
  <c r="Y304" i="12"/>
  <c r="Y305" i="12"/>
  <c r="Y31" i="12"/>
  <c r="Y108" i="12"/>
  <c r="Y159" i="12"/>
  <c r="Y269" i="12"/>
  <c r="Y255" i="12"/>
  <c r="Y239" i="12"/>
  <c r="Y205" i="12"/>
  <c r="Y185" i="12"/>
  <c r="Y252" i="12"/>
  <c r="Y105" i="12"/>
  <c r="Y23" i="12"/>
  <c r="Y301" i="12"/>
  <c r="Y209" i="12"/>
  <c r="Y288" i="12"/>
  <c r="Y204" i="12"/>
  <c r="Y189" i="12"/>
  <c r="Y121" i="12"/>
  <c r="Y34" i="12"/>
  <c r="Y86" i="12"/>
  <c r="Y242" i="12"/>
  <c r="Y302" i="12"/>
  <c r="AB178" i="12"/>
  <c r="AC178" i="12" s="1"/>
  <c r="AF96" i="12"/>
  <c r="AG96" i="12" s="1"/>
  <c r="AB228" i="12"/>
  <c r="AF228" i="12"/>
  <c r="AG228" i="12" s="1"/>
  <c r="Y263" i="12"/>
  <c r="Y231" i="12"/>
  <c r="F27" i="2"/>
  <c r="F45" i="2"/>
  <c r="F26" i="2"/>
  <c r="G26" i="2" s="1"/>
  <c r="AF106" i="12"/>
  <c r="AG106" i="12" s="1"/>
  <c r="AB106" i="12"/>
  <c r="AC41" i="12"/>
  <c r="Z112" i="12"/>
  <c r="Z298" i="12"/>
  <c r="Z297" i="12"/>
  <c r="Z269" i="12"/>
  <c r="Z185" i="12"/>
  <c r="Z122" i="12"/>
  <c r="Z135" i="12"/>
  <c r="Z94" i="12"/>
  <c r="Z97" i="12"/>
  <c r="Z73" i="12"/>
  <c r="Z229" i="12"/>
  <c r="Z149" i="12"/>
  <c r="Z125" i="12"/>
  <c r="Z232" i="12"/>
  <c r="Z211" i="12"/>
  <c r="Z199" i="12"/>
  <c r="Z220" i="12"/>
  <c r="Z154" i="12"/>
  <c r="Z215" i="12"/>
  <c r="Z65" i="12"/>
  <c r="Z302" i="12"/>
  <c r="Z213" i="12"/>
  <c r="Z194" i="12"/>
  <c r="Z239" i="12"/>
  <c r="Z152" i="12"/>
  <c r="Z83" i="12"/>
  <c r="Z226" i="12"/>
  <c r="Z286" i="12"/>
  <c r="Z79" i="12"/>
  <c r="Z288" i="12"/>
  <c r="Z272" i="12"/>
  <c r="Z120" i="12"/>
  <c r="Z141" i="12"/>
  <c r="Z308" i="12"/>
  <c r="Z129" i="12"/>
  <c r="Z214" i="12"/>
  <c r="Z123" i="12"/>
  <c r="Z159" i="12"/>
  <c r="Z64" i="12"/>
  <c r="Z225" i="12"/>
  <c r="Z285" i="12"/>
  <c r="Z170" i="12"/>
  <c r="Z71" i="12"/>
  <c r="Z173" i="12"/>
  <c r="Z205" i="12"/>
  <c r="Z40" i="12"/>
  <c r="Z172" i="12"/>
  <c r="Z183" i="12"/>
  <c r="Z167" i="12"/>
  <c r="Z147" i="12"/>
  <c r="Z161" i="12"/>
  <c r="Z257" i="12"/>
  <c r="Z81" i="12"/>
  <c r="Z253" i="12"/>
  <c r="Z117" i="12"/>
  <c r="Z171" i="12"/>
  <c r="Z222" i="12"/>
  <c r="Z105" i="12"/>
  <c r="Z35" i="12"/>
  <c r="Z153" i="12"/>
  <c r="Z304" i="12"/>
  <c r="Z227" i="12"/>
  <c r="Z27" i="12"/>
  <c r="Z137" i="12"/>
  <c r="Z203" i="12"/>
  <c r="Z187" i="12"/>
  <c r="Z181" i="12"/>
  <c r="Z249" i="12"/>
  <c r="Z37" i="12"/>
  <c r="Z157" i="12"/>
  <c r="F14" i="4"/>
  <c r="G14" i="4" s="1"/>
  <c r="F13" i="4"/>
  <c r="G13" i="4" s="1"/>
  <c r="F10" i="4"/>
  <c r="G10" i="4" s="1"/>
  <c r="F16" i="4"/>
  <c r="G16" i="4" s="1"/>
  <c r="F11" i="4"/>
  <c r="G11" i="4" s="1"/>
  <c r="F12" i="4"/>
  <c r="G12" i="4" s="1"/>
  <c r="S9" i="12"/>
  <c r="I16" i="19"/>
  <c r="G25" i="2" l="1"/>
  <c r="AH190" i="12"/>
  <c r="L39" i="19"/>
  <c r="M39" i="19" s="1"/>
  <c r="L46" i="19"/>
  <c r="M46" i="19" s="1"/>
  <c r="L48" i="19"/>
  <c r="M48" i="19" s="1"/>
  <c r="L49" i="19"/>
  <c r="M49" i="19" s="1"/>
  <c r="L47" i="19"/>
  <c r="M47" i="19" s="1"/>
  <c r="L27" i="19"/>
  <c r="M27" i="19" s="1"/>
  <c r="AJ190" i="12"/>
  <c r="AK190" i="12" s="1"/>
  <c r="L47" i="15"/>
  <c r="M47" i="15" s="1"/>
  <c r="L51" i="15"/>
  <c r="M51" i="15" s="1"/>
  <c r="L50" i="15"/>
  <c r="M50" i="15" s="1"/>
  <c r="L48" i="15"/>
  <c r="M48" i="15" s="1"/>
  <c r="L49" i="15"/>
  <c r="M49" i="15" s="1"/>
  <c r="AF148" i="12"/>
  <c r="AG148" i="12" s="1"/>
  <c r="AF225" i="12"/>
  <c r="AG225" i="12" s="1"/>
  <c r="AB75" i="12"/>
  <c r="AF123" i="12"/>
  <c r="AG123" i="12" s="1"/>
  <c r="AF33" i="12"/>
  <c r="AG33" i="12" s="1"/>
  <c r="AH67" i="12"/>
  <c r="AJ67" i="12" s="1"/>
  <c r="AK67" i="12" s="1"/>
  <c r="D49" i="2"/>
  <c r="AB287" i="12"/>
  <c r="AC234" i="12"/>
  <c r="AF141" i="12"/>
  <c r="AG141" i="12" s="1"/>
  <c r="AF41" i="12"/>
  <c r="AG41" i="12" s="1"/>
  <c r="E26" i="1"/>
  <c r="F26" i="1" s="1"/>
  <c r="E24" i="1"/>
  <c r="F24" i="1" s="1"/>
  <c r="AF125" i="12"/>
  <c r="AG125" i="12" s="1"/>
  <c r="E32" i="1"/>
  <c r="F32" i="1" s="1"/>
  <c r="AF138" i="12"/>
  <c r="AG138" i="12" s="1"/>
  <c r="AH41" i="12"/>
  <c r="AJ41" i="12" s="1"/>
  <c r="AK41" i="12" s="1"/>
  <c r="AB248" i="12"/>
  <c r="AH248" i="12" s="1"/>
  <c r="B45" i="2"/>
  <c r="AB94" i="12"/>
  <c r="AC94" i="12" s="1"/>
  <c r="AF211" i="12"/>
  <c r="AG211" i="12" s="1"/>
  <c r="AF187" i="12"/>
  <c r="AG187" i="12" s="1"/>
  <c r="B29" i="2"/>
  <c r="AB149" i="12"/>
  <c r="AC149" i="12" s="1"/>
  <c r="AH142" i="12"/>
  <c r="AJ142" i="12" s="1"/>
  <c r="AK142" i="12" s="1"/>
  <c r="AF83" i="12"/>
  <c r="AG83" i="12" s="1"/>
  <c r="AF80" i="12"/>
  <c r="AG80" i="12" s="1"/>
  <c r="AH207" i="12"/>
  <c r="AJ207" i="12" s="1"/>
  <c r="AK207" i="12" s="1"/>
  <c r="AH245" i="12"/>
  <c r="AJ245" i="12" s="1"/>
  <c r="AK245" i="12" s="1"/>
  <c r="AH57" i="12"/>
  <c r="AJ57" i="12" s="1"/>
  <c r="AK57" i="12" s="1"/>
  <c r="AB214" i="12"/>
  <c r="AC214" i="12" s="1"/>
  <c r="AF214" i="12"/>
  <c r="AG214" i="12" s="1"/>
  <c r="AH33" i="12"/>
  <c r="AJ33" i="12" s="1"/>
  <c r="AK33" i="12" s="1"/>
  <c r="AB107" i="12"/>
  <c r="AC107" i="12" s="1"/>
  <c r="AH62" i="12"/>
  <c r="AJ62" i="12" s="1"/>
  <c r="AK62" i="12" s="1"/>
  <c r="L132" i="15"/>
  <c r="M132" i="15" s="1"/>
  <c r="L135" i="15"/>
  <c r="M135" i="15" s="1"/>
  <c r="L46" i="15"/>
  <c r="M46" i="15" s="1"/>
  <c r="L52" i="15"/>
  <c r="M52" i="15" s="1"/>
  <c r="L129" i="15"/>
  <c r="M129" i="15" s="1"/>
  <c r="L41" i="15"/>
  <c r="M41" i="15" s="1"/>
  <c r="L117" i="15"/>
  <c r="M117" i="15" s="1"/>
  <c r="L58" i="15"/>
  <c r="M58" i="15" s="1"/>
  <c r="L40" i="19"/>
  <c r="M40" i="19" s="1"/>
  <c r="L23" i="19"/>
  <c r="M23" i="19" s="1"/>
  <c r="L26" i="19"/>
  <c r="M26" i="19" s="1"/>
  <c r="L41" i="19"/>
  <c r="M41" i="19" s="1"/>
  <c r="L29" i="19"/>
  <c r="M29" i="19" s="1"/>
  <c r="L28" i="19"/>
  <c r="M28" i="19" s="1"/>
  <c r="L45" i="19"/>
  <c r="M45" i="19" s="1"/>
  <c r="L24" i="19"/>
  <c r="M24" i="19" s="1"/>
  <c r="L29" i="15"/>
  <c r="M29" i="15" s="1"/>
  <c r="L128" i="15"/>
  <c r="M128" i="15" s="1"/>
  <c r="L118" i="15"/>
  <c r="M118" i="15" s="1"/>
  <c r="L28" i="15"/>
  <c r="M28" i="15" s="1"/>
  <c r="L42" i="15"/>
  <c r="M42" i="15" s="1"/>
  <c r="L44" i="15"/>
  <c r="M44" i="15" s="1"/>
  <c r="L119" i="15"/>
  <c r="M119" i="15" s="1"/>
  <c r="L39" i="15"/>
  <c r="M39" i="15" s="1"/>
  <c r="L59" i="15"/>
  <c r="M59" i="15" s="1"/>
  <c r="L30" i="15"/>
  <c r="M30" i="15" s="1"/>
  <c r="L43" i="15"/>
  <c r="M43" i="15" s="1"/>
  <c r="L61" i="15"/>
  <c r="M61" i="15" s="1"/>
  <c r="L110" i="15"/>
  <c r="M110" i="15" s="1"/>
  <c r="L40" i="15"/>
  <c r="M40" i="15" s="1"/>
  <c r="L34" i="19"/>
  <c r="M34" i="19" s="1"/>
  <c r="L35" i="19"/>
  <c r="M35" i="19" s="1"/>
  <c r="L50" i="19"/>
  <c r="M50" i="19" s="1"/>
  <c r="L31" i="19"/>
  <c r="M31" i="19" s="1"/>
  <c r="L32" i="19"/>
  <c r="M32" i="19" s="1"/>
  <c r="L52" i="19"/>
  <c r="M52" i="19" s="1"/>
  <c r="L30" i="19"/>
  <c r="M30" i="19" s="1"/>
  <c r="L42" i="19"/>
  <c r="M42" i="19" s="1"/>
  <c r="L44" i="19"/>
  <c r="M44" i="19" s="1"/>
  <c r="L18" i="19"/>
  <c r="M18" i="19" s="1"/>
  <c r="L133" i="15"/>
  <c r="M133" i="15" s="1"/>
  <c r="L35" i="15"/>
  <c r="M35" i="15" s="1"/>
  <c r="L32" i="15"/>
  <c r="M32" i="15" s="1"/>
  <c r="L31" i="15"/>
  <c r="M31" i="15" s="1"/>
  <c r="L34" i="15"/>
  <c r="M34" i="15" s="1"/>
  <c r="L23" i="15"/>
  <c r="M23" i="15" s="1"/>
  <c r="L98" i="15"/>
  <c r="M98" i="15" s="1"/>
  <c r="L127" i="15"/>
  <c r="M127" i="15" s="1"/>
  <c r="L105" i="15"/>
  <c r="M105" i="15" s="1"/>
  <c r="L107" i="15"/>
  <c r="M107" i="15" s="1"/>
  <c r="L56" i="15"/>
  <c r="M56" i="15" s="1"/>
  <c r="L54" i="15"/>
  <c r="M54" i="15" s="1"/>
  <c r="L55" i="15"/>
  <c r="M55" i="15" s="1"/>
  <c r="L130" i="15"/>
  <c r="M130" i="15" s="1"/>
  <c r="L109" i="15"/>
  <c r="M109" i="15" s="1"/>
  <c r="L106" i="15"/>
  <c r="M106" i="15" s="1"/>
  <c r="AH25" i="12"/>
  <c r="AB45" i="12"/>
  <c r="AC45" i="12" s="1"/>
  <c r="AF45" i="12"/>
  <c r="AG45" i="12" s="1"/>
  <c r="AB247" i="12"/>
  <c r="AC247" i="12" s="1"/>
  <c r="AF247" i="12"/>
  <c r="AG247" i="12" s="1"/>
  <c r="AB221" i="12"/>
  <c r="AF221" i="12"/>
  <c r="AG221" i="12" s="1"/>
  <c r="D21" i="2"/>
  <c r="AF132" i="12"/>
  <c r="AG132" i="12" s="1"/>
  <c r="AB132" i="12"/>
  <c r="AC132" i="12" s="1"/>
  <c r="AF143" i="12"/>
  <c r="AG143" i="12" s="1"/>
  <c r="AB143" i="12"/>
  <c r="AC143" i="12" s="1"/>
  <c r="AB165" i="12"/>
  <c r="AC165" i="12" s="1"/>
  <c r="AF165" i="12"/>
  <c r="AG165" i="12" s="1"/>
  <c r="AB188" i="12"/>
  <c r="AC188" i="12" s="1"/>
  <c r="AF188" i="12"/>
  <c r="AG188" i="12" s="1"/>
  <c r="AB36" i="12"/>
  <c r="AC36" i="12" s="1"/>
  <c r="AB63" i="12"/>
  <c r="AC63" i="12" s="1"/>
  <c r="AF63" i="12"/>
  <c r="AG63" i="12" s="1"/>
  <c r="AF290" i="12"/>
  <c r="AG290" i="12" s="1"/>
  <c r="AB290" i="12"/>
  <c r="AC290" i="12" s="1"/>
  <c r="AB191" i="12"/>
  <c r="AC191" i="12" s="1"/>
  <c r="AF191" i="12"/>
  <c r="AG191" i="12" s="1"/>
  <c r="AF130" i="12"/>
  <c r="AG130" i="12" s="1"/>
  <c r="AB130" i="12"/>
  <c r="L22" i="15"/>
  <c r="M22" i="15" s="1"/>
  <c r="L26" i="15"/>
  <c r="M26" i="15" s="1"/>
  <c r="L17" i="15"/>
  <c r="M17" i="15" s="1"/>
  <c r="L27" i="15"/>
  <c r="M27" i="15" s="1"/>
  <c r="L25" i="15"/>
  <c r="M25" i="15" s="1"/>
  <c r="AD87" i="12"/>
  <c r="AH87" i="12" s="1"/>
  <c r="AJ87" i="12" s="1"/>
  <c r="AK87" i="12" s="1"/>
  <c r="AJ234" i="12"/>
  <c r="AK234" i="12" s="1"/>
  <c r="AD289" i="12"/>
  <c r="AH138" i="12"/>
  <c r="AJ138" i="12" s="1"/>
  <c r="AK138" i="12" s="1"/>
  <c r="AH238" i="12"/>
  <c r="AJ238" i="12" s="1"/>
  <c r="AK238" i="12" s="1"/>
  <c r="E94" i="1"/>
  <c r="F94" i="1" s="1"/>
  <c r="E90" i="1"/>
  <c r="F90" i="1" s="1"/>
  <c r="E88" i="1"/>
  <c r="F88" i="1" s="1"/>
  <c r="E96" i="1"/>
  <c r="F96" i="1" s="1"/>
  <c r="E23" i="2"/>
  <c r="E24" i="2"/>
  <c r="E35" i="18"/>
  <c r="E29" i="18"/>
  <c r="E37" i="18"/>
  <c r="E31" i="18"/>
  <c r="AH198" i="12"/>
  <c r="AD188" i="12"/>
  <c r="AH114" i="12"/>
  <c r="AJ114" i="12" s="1"/>
  <c r="AK114" i="12" s="1"/>
  <c r="AD107" i="12"/>
  <c r="AD247" i="12"/>
  <c r="AD64" i="12"/>
  <c r="AD194" i="12"/>
  <c r="AF305" i="12"/>
  <c r="AB305" i="12"/>
  <c r="AF264" i="12"/>
  <c r="AG264" i="12" s="1"/>
  <c r="AB264" i="12"/>
  <c r="AF37" i="12"/>
  <c r="AG37" i="12" s="1"/>
  <c r="AB37" i="12"/>
  <c r="AC37" i="12" s="1"/>
  <c r="AB92" i="12"/>
  <c r="AF92" i="12"/>
  <c r="AG92" i="12" s="1"/>
  <c r="AB131" i="12"/>
  <c r="AF131" i="12"/>
  <c r="AG131" i="12" s="1"/>
  <c r="AB250" i="12"/>
  <c r="AF250" i="12"/>
  <c r="AG250" i="12" s="1"/>
  <c r="AF195" i="12"/>
  <c r="AB195" i="12"/>
  <c r="AF267" i="12"/>
  <c r="AB267" i="12"/>
  <c r="AF240" i="12"/>
  <c r="AG240" i="12" s="1"/>
  <c r="AB240" i="12"/>
  <c r="AB229" i="12"/>
  <c r="AC229" i="12" s="1"/>
  <c r="AF229" i="12"/>
  <c r="AG229" i="12" s="1"/>
  <c r="L11" i="4"/>
  <c r="N11" i="4"/>
  <c r="AD183" i="12"/>
  <c r="AD199" i="12"/>
  <c r="AB84" i="12"/>
  <c r="AF84" i="12"/>
  <c r="AG84" i="12" s="1"/>
  <c r="AF276" i="12"/>
  <c r="AG276" i="12" s="1"/>
  <c r="AB276" i="12"/>
  <c r="AB27" i="12"/>
  <c r="AC27" i="12" s="1"/>
  <c r="AF27" i="12"/>
  <c r="AG27" i="12" s="1"/>
  <c r="AB183" i="12"/>
  <c r="AC183" i="12" s="1"/>
  <c r="AF183" i="12"/>
  <c r="AG183" i="12" s="1"/>
  <c r="AF182" i="12"/>
  <c r="AG182" i="12" s="1"/>
  <c r="AB182" i="12"/>
  <c r="AD285" i="12"/>
  <c r="AD97" i="12"/>
  <c r="AB71" i="12"/>
  <c r="AC71" i="12" s="1"/>
  <c r="AF71" i="12"/>
  <c r="AG71" i="12" s="1"/>
  <c r="AF51" i="12"/>
  <c r="AB51" i="12"/>
  <c r="AF235" i="12"/>
  <c r="AB235" i="12"/>
  <c r="AD105" i="12"/>
  <c r="AD170" i="12"/>
  <c r="AD83" i="12"/>
  <c r="AD73" i="12"/>
  <c r="AD298" i="12"/>
  <c r="AB242" i="12"/>
  <c r="AF242" i="12"/>
  <c r="AG242" i="12" s="1"/>
  <c r="AB159" i="12"/>
  <c r="AC159" i="12" s="1"/>
  <c r="AF159" i="12"/>
  <c r="AG159" i="12" s="1"/>
  <c r="AB153" i="12"/>
  <c r="AC153" i="12" s="1"/>
  <c r="AF153" i="12"/>
  <c r="AG153" i="12" s="1"/>
  <c r="AF208" i="12"/>
  <c r="AB208" i="12"/>
  <c r="AF53" i="12"/>
  <c r="AB53" i="12"/>
  <c r="AB22" i="12"/>
  <c r="AF22" i="12"/>
  <c r="AG22" i="12" s="1"/>
  <c r="AB24" i="12"/>
  <c r="AF24" i="12"/>
  <c r="AG24" i="12" s="1"/>
  <c r="AF278" i="12"/>
  <c r="AG278" i="12" s="1"/>
  <c r="AB278" i="12"/>
  <c r="AF175" i="12"/>
  <c r="AB175" i="12"/>
  <c r="AB104" i="12"/>
  <c r="AF104" i="12"/>
  <c r="AG104" i="12" s="1"/>
  <c r="AB272" i="12"/>
  <c r="AC272" i="12" s="1"/>
  <c r="AF272" i="12"/>
  <c r="AG272" i="12" s="1"/>
  <c r="AF126" i="12"/>
  <c r="AG126" i="12" s="1"/>
  <c r="AB126" i="12"/>
  <c r="AB259" i="12"/>
  <c r="AF259" i="12"/>
  <c r="AG259" i="12" s="1"/>
  <c r="AF236" i="12"/>
  <c r="AG236" i="12" s="1"/>
  <c r="AB236" i="12"/>
  <c r="AF296" i="12"/>
  <c r="AG296" i="12" s="1"/>
  <c r="AB296" i="12"/>
  <c r="AD181" i="12"/>
  <c r="AD161" i="12"/>
  <c r="AD129" i="12"/>
  <c r="AD215" i="12"/>
  <c r="AD229" i="12"/>
  <c r="AD297" i="12"/>
  <c r="AF302" i="12"/>
  <c r="AG302" i="12" s="1"/>
  <c r="AB302" i="12"/>
  <c r="AC302" i="12" s="1"/>
  <c r="AF209" i="12"/>
  <c r="AG209" i="12" s="1"/>
  <c r="AB209" i="12"/>
  <c r="AF301" i="12"/>
  <c r="AB301" i="12"/>
  <c r="AB269" i="12"/>
  <c r="AC269" i="12" s="1"/>
  <c r="AF269" i="12"/>
  <c r="AG269" i="12" s="1"/>
  <c r="AB127" i="12"/>
  <c r="AF127" i="12"/>
  <c r="AB300" i="12"/>
  <c r="AF300" i="12"/>
  <c r="AG300" i="12" s="1"/>
  <c r="AB268" i="12"/>
  <c r="AF268" i="12"/>
  <c r="AG268" i="12" s="1"/>
  <c r="AB133" i="12"/>
  <c r="AF133" i="12"/>
  <c r="AF54" i="12"/>
  <c r="AG54" i="12" s="1"/>
  <c r="AB54" i="12"/>
  <c r="AB237" i="12"/>
  <c r="AF237" i="12"/>
  <c r="AF201" i="12"/>
  <c r="AG201" i="12" s="1"/>
  <c r="AB201" i="12"/>
  <c r="AF210" i="12"/>
  <c r="AG210" i="12" s="1"/>
  <c r="AB210" i="12"/>
  <c r="AB186" i="12"/>
  <c r="AF186" i="12"/>
  <c r="AG186" i="12" s="1"/>
  <c r="AB181" i="12"/>
  <c r="AC181" i="12" s="1"/>
  <c r="AF181" i="12"/>
  <c r="AG181" i="12" s="1"/>
  <c r="AF213" i="12"/>
  <c r="AG213" i="12" s="1"/>
  <c r="AB213" i="12"/>
  <c r="AC213" i="12" s="1"/>
  <c r="AB50" i="12"/>
  <c r="AF50" i="12"/>
  <c r="AG50" i="12" s="1"/>
  <c r="AB262" i="12"/>
  <c r="AF262" i="12"/>
  <c r="AG262" i="12" s="1"/>
  <c r="AF260" i="12"/>
  <c r="AG260" i="12" s="1"/>
  <c r="AB260" i="12"/>
  <c r="AB78" i="12"/>
  <c r="AF78" i="12"/>
  <c r="AG78" i="12" s="1"/>
  <c r="AB206" i="12"/>
  <c r="AF206" i="12"/>
  <c r="AG206" i="12" s="1"/>
  <c r="AF158" i="12"/>
  <c r="AG158" i="12" s="1"/>
  <c r="AB158" i="12"/>
  <c r="AF292" i="12"/>
  <c r="AG292" i="12" s="1"/>
  <c r="AB292" i="12"/>
  <c r="AF112" i="12"/>
  <c r="AG112" i="12" s="1"/>
  <c r="AB112" i="12"/>
  <c r="AC112" i="12" s="1"/>
  <c r="AF202" i="12"/>
  <c r="AG202" i="12" s="1"/>
  <c r="AB202" i="12"/>
  <c r="AB219" i="12"/>
  <c r="AF219" i="12"/>
  <c r="AB136" i="12"/>
  <c r="AF136" i="12"/>
  <c r="AG136" i="12" s="1"/>
  <c r="AB39" i="12"/>
  <c r="AF39" i="12"/>
  <c r="AB119" i="12"/>
  <c r="AF119" i="12"/>
  <c r="AF65" i="12"/>
  <c r="AG65" i="12" s="1"/>
  <c r="AB65" i="12"/>
  <c r="AC65" i="12" s="1"/>
  <c r="N15" i="4"/>
  <c r="L15" i="4"/>
  <c r="AH60" i="12"/>
  <c r="AJ60" i="12" s="1"/>
  <c r="AK60" i="12" s="1"/>
  <c r="AD27" i="12"/>
  <c r="AD272" i="12"/>
  <c r="AD211" i="12"/>
  <c r="AB116" i="12"/>
  <c r="AF116" i="12"/>
  <c r="AG116" i="12" s="1"/>
  <c r="AB95" i="12"/>
  <c r="AF95" i="12"/>
  <c r="AF274" i="12"/>
  <c r="AG274" i="12" s="1"/>
  <c r="AB274" i="12"/>
  <c r="AF144" i="12"/>
  <c r="AG144" i="12" s="1"/>
  <c r="AB144" i="12"/>
  <c r="AB152" i="12"/>
  <c r="AC152" i="12" s="1"/>
  <c r="AF152" i="12"/>
  <c r="AG152" i="12" s="1"/>
  <c r="AF177" i="12"/>
  <c r="AB177" i="12"/>
  <c r="AF38" i="12"/>
  <c r="AG38" i="12" s="1"/>
  <c r="AB38" i="12"/>
  <c r="AF161" i="12"/>
  <c r="AG161" i="12" s="1"/>
  <c r="AB161" i="12"/>
  <c r="AC161" i="12" s="1"/>
  <c r="AF91" i="12"/>
  <c r="AB91" i="12"/>
  <c r="AF298" i="12"/>
  <c r="AG298" i="12" s="1"/>
  <c r="AB298" i="12"/>
  <c r="AC298" i="12" s="1"/>
  <c r="AC166" i="12"/>
  <c r="AH166" i="12"/>
  <c r="AD137" i="12"/>
  <c r="AD225" i="12"/>
  <c r="AD239" i="12"/>
  <c r="AF34" i="12"/>
  <c r="AB34" i="12"/>
  <c r="AB295" i="12"/>
  <c r="AF295" i="12"/>
  <c r="AB90" i="12"/>
  <c r="AF90" i="12"/>
  <c r="AG90" i="12" s="1"/>
  <c r="AB168" i="12"/>
  <c r="AF168" i="12"/>
  <c r="AG168" i="12" s="1"/>
  <c r="AB180" i="12"/>
  <c r="AF180" i="12"/>
  <c r="AG180" i="12" s="1"/>
  <c r="AF162" i="12"/>
  <c r="AG162" i="12" s="1"/>
  <c r="AB162" i="12"/>
  <c r="AB68" i="12"/>
  <c r="AF68" i="12"/>
  <c r="AB49" i="12"/>
  <c r="AF49" i="12"/>
  <c r="AB299" i="12"/>
  <c r="AF299" i="12"/>
  <c r="E101" i="1"/>
  <c r="F101" i="1" s="1"/>
  <c r="E92" i="1"/>
  <c r="F92" i="1" s="1"/>
  <c r="E91" i="1"/>
  <c r="F91" i="1" s="1"/>
  <c r="E98" i="1"/>
  <c r="F98" i="1" s="1"/>
  <c r="E95" i="1"/>
  <c r="F95" i="1" s="1"/>
  <c r="E100" i="1"/>
  <c r="F100" i="1" s="1"/>
  <c r="L103" i="1"/>
  <c r="E103" i="1" s="1"/>
  <c r="F103" i="1" s="1"/>
  <c r="E89" i="1"/>
  <c r="F89" i="1" s="1"/>
  <c r="E86" i="1"/>
  <c r="E97" i="1"/>
  <c r="F97" i="1" s="1"/>
  <c r="AB110" i="12"/>
  <c r="AF110" i="12"/>
  <c r="AG110" i="12" s="1"/>
  <c r="AB135" i="12"/>
  <c r="AC135" i="12" s="1"/>
  <c r="AF135" i="12"/>
  <c r="AG135" i="12" s="1"/>
  <c r="AC287" i="12"/>
  <c r="AH287" i="12"/>
  <c r="AC307" i="12"/>
  <c r="AH307" i="12"/>
  <c r="AD222" i="12"/>
  <c r="AD141" i="12"/>
  <c r="AN142" i="12" s="1"/>
  <c r="AD220" i="12"/>
  <c r="AF263" i="12"/>
  <c r="AB263" i="12"/>
  <c r="AB108" i="12"/>
  <c r="AF108" i="12"/>
  <c r="AB281" i="12"/>
  <c r="AF281" i="12"/>
  <c r="AG281" i="12" s="1"/>
  <c r="AB171" i="12"/>
  <c r="AC171" i="12" s="1"/>
  <c r="AF171" i="12"/>
  <c r="AG171" i="12" s="1"/>
  <c r="C15" i="17"/>
  <c r="C16" i="17" s="1"/>
  <c r="C14" i="17"/>
  <c r="AF145" i="12"/>
  <c r="AG145" i="12" s="1"/>
  <c r="AB145" i="12"/>
  <c r="AF124" i="12"/>
  <c r="AG124" i="12" s="1"/>
  <c r="AB124" i="12"/>
  <c r="AB294" i="12"/>
  <c r="AF294" i="12"/>
  <c r="AG294" i="12" s="1"/>
  <c r="AF129" i="12"/>
  <c r="AG129" i="12" s="1"/>
  <c r="AB129" i="12"/>
  <c r="AC129" i="12" s="1"/>
  <c r="AF157" i="12"/>
  <c r="AG157" i="12" s="1"/>
  <c r="AB157" i="12"/>
  <c r="AC157" i="12" s="1"/>
  <c r="AB117" i="12"/>
  <c r="AC117" i="12" s="1"/>
  <c r="AF117" i="12"/>
  <c r="AG117" i="12" s="1"/>
  <c r="AB285" i="12"/>
  <c r="AC285" i="12" s="1"/>
  <c r="AF285" i="12"/>
  <c r="AG285" i="12" s="1"/>
  <c r="AF200" i="12"/>
  <c r="AG200" i="12" s="1"/>
  <c r="AB200" i="12"/>
  <c r="AB199" i="12"/>
  <c r="AC199" i="12" s="1"/>
  <c r="AF199" i="12"/>
  <c r="AG199" i="12" s="1"/>
  <c r="AF120" i="12"/>
  <c r="AG120" i="12" s="1"/>
  <c r="AB120" i="12"/>
  <c r="AC120" i="12" s="1"/>
  <c r="AB283" i="12"/>
  <c r="AF283" i="12"/>
  <c r="AF151" i="12"/>
  <c r="AB151" i="12"/>
  <c r="AD187" i="12"/>
  <c r="AD147" i="12"/>
  <c r="AD308" i="12"/>
  <c r="AD154" i="12"/>
  <c r="AF231" i="12"/>
  <c r="AG231" i="12" s="1"/>
  <c r="AB231" i="12"/>
  <c r="AF23" i="12"/>
  <c r="AB23" i="12"/>
  <c r="AF163" i="12"/>
  <c r="AB163" i="12"/>
  <c r="AF226" i="12"/>
  <c r="AG226" i="12" s="1"/>
  <c r="AB226" i="12"/>
  <c r="AC226" i="12" s="1"/>
  <c r="AF73" i="12"/>
  <c r="AG73" i="12" s="1"/>
  <c r="AB73" i="12"/>
  <c r="AC73" i="12" s="1"/>
  <c r="AF64" i="12"/>
  <c r="AG64" i="12" s="1"/>
  <c r="AB64" i="12"/>
  <c r="AC64" i="12" s="1"/>
  <c r="AF193" i="12"/>
  <c r="AB193" i="12"/>
  <c r="AB32" i="12"/>
  <c r="AF32" i="12"/>
  <c r="AG32" i="12" s="1"/>
  <c r="AF222" i="12"/>
  <c r="AG222" i="12" s="1"/>
  <c r="AB222" i="12"/>
  <c r="AC222" i="12" s="1"/>
  <c r="AF137" i="12"/>
  <c r="AG137" i="12" s="1"/>
  <c r="AB137" i="12"/>
  <c r="AC137" i="12" s="1"/>
  <c r="AF258" i="12"/>
  <c r="AG258" i="12" s="1"/>
  <c r="AB258" i="12"/>
  <c r="AB85" i="12"/>
  <c r="AF85" i="12"/>
  <c r="AB306" i="12"/>
  <c r="AF306" i="12"/>
  <c r="AG306" i="12" s="1"/>
  <c r="AF253" i="12"/>
  <c r="AG253" i="12" s="1"/>
  <c r="AB253" i="12"/>
  <c r="AC253" i="12" s="1"/>
  <c r="AF109" i="12"/>
  <c r="AB109" i="12"/>
  <c r="L12" i="4"/>
  <c r="N12" i="4"/>
  <c r="AD35" i="12"/>
  <c r="AD71" i="12"/>
  <c r="AD226" i="12"/>
  <c r="AD249" i="12"/>
  <c r="AD153" i="12"/>
  <c r="AD257" i="12"/>
  <c r="AD173" i="12"/>
  <c r="AD214" i="12"/>
  <c r="AD286" i="12"/>
  <c r="AD65" i="12"/>
  <c r="AD149" i="12"/>
  <c r="AD269" i="12"/>
  <c r="AC106" i="12"/>
  <c r="AH106" i="12"/>
  <c r="AC96" i="12"/>
  <c r="AH96" i="12"/>
  <c r="AB288" i="12"/>
  <c r="AC288" i="12" s="1"/>
  <c r="AF288" i="12"/>
  <c r="AG288" i="12" s="1"/>
  <c r="AF255" i="12"/>
  <c r="AB255" i="12"/>
  <c r="AF155" i="12"/>
  <c r="AB155" i="12"/>
  <c r="AF203" i="12"/>
  <c r="AG203" i="12" s="1"/>
  <c r="AB203" i="12"/>
  <c r="AC203" i="12" s="1"/>
  <c r="AB97" i="12"/>
  <c r="AC97" i="12" s="1"/>
  <c r="AF97" i="12"/>
  <c r="AG97" i="12" s="1"/>
  <c r="AF40" i="12"/>
  <c r="AG40" i="12" s="1"/>
  <c r="AB40" i="12"/>
  <c r="AC40" i="12" s="1"/>
  <c r="AB147" i="12"/>
  <c r="AC147" i="12" s="1"/>
  <c r="AF147" i="12"/>
  <c r="AG147" i="12" s="1"/>
  <c r="AB74" i="12"/>
  <c r="AF74" i="12"/>
  <c r="AG74" i="12" s="1"/>
  <c r="AF55" i="12"/>
  <c r="AG55" i="12" s="1"/>
  <c r="AB55" i="12"/>
  <c r="AF179" i="12"/>
  <c r="AB179" i="12"/>
  <c r="AF277" i="12"/>
  <c r="AB277" i="12"/>
  <c r="AF169" i="12"/>
  <c r="AG169" i="12" s="1"/>
  <c r="AB169" i="12"/>
  <c r="AB261" i="12"/>
  <c r="AF261" i="12"/>
  <c r="AB28" i="12"/>
  <c r="AF28" i="12"/>
  <c r="AG28" i="12" s="1"/>
  <c r="AF140" i="12"/>
  <c r="AG140" i="12" s="1"/>
  <c r="AB140" i="12"/>
  <c r="AF282" i="12"/>
  <c r="AG282" i="12" s="1"/>
  <c r="AB282" i="12"/>
  <c r="AB66" i="12"/>
  <c r="AF66" i="12"/>
  <c r="AG66" i="12" s="1"/>
  <c r="AB249" i="12"/>
  <c r="AC249" i="12" s="1"/>
  <c r="AF249" i="12"/>
  <c r="AG249" i="12" s="1"/>
  <c r="AB48" i="12"/>
  <c r="AF48" i="12"/>
  <c r="AG48" i="12" s="1"/>
  <c r="L98" i="19"/>
  <c r="M98" i="19" s="1"/>
  <c r="M51" i="19"/>
  <c r="L93" i="19"/>
  <c r="M93" i="19" s="1"/>
  <c r="L95" i="19"/>
  <c r="M95" i="19" s="1"/>
  <c r="L124" i="19"/>
  <c r="M124" i="19" s="1"/>
  <c r="L99" i="19"/>
  <c r="M99" i="19" s="1"/>
  <c r="L122" i="19"/>
  <c r="M122" i="19" s="1"/>
  <c r="L96" i="19"/>
  <c r="M96" i="19" s="1"/>
  <c r="L121" i="19"/>
  <c r="M121" i="19" s="1"/>
  <c r="L82" i="19"/>
  <c r="L94" i="19"/>
  <c r="M94" i="19" s="1"/>
  <c r="L116" i="19"/>
  <c r="M116" i="19" s="1"/>
  <c r="L107" i="19"/>
  <c r="M107" i="19" s="1"/>
  <c r="L19" i="19"/>
  <c r="L87" i="19"/>
  <c r="M87" i="19" s="1"/>
  <c r="L117" i="19"/>
  <c r="M117" i="19" s="1"/>
  <c r="L118" i="19"/>
  <c r="M118" i="19" s="1"/>
  <c r="L119" i="19"/>
  <c r="M119" i="19" s="1"/>
  <c r="L106" i="19"/>
  <c r="M106" i="19" s="1"/>
  <c r="L108" i="19"/>
  <c r="M108" i="19" s="1"/>
  <c r="AF241" i="12"/>
  <c r="AB241" i="12"/>
  <c r="AF29" i="12"/>
  <c r="AB29" i="12"/>
  <c r="AB223" i="12"/>
  <c r="AF223" i="12"/>
  <c r="AB280" i="12"/>
  <c r="AF280" i="12"/>
  <c r="AG280" i="12" s="1"/>
  <c r="AF52" i="12"/>
  <c r="AG52" i="12" s="1"/>
  <c r="AB52" i="12"/>
  <c r="AB70" i="12"/>
  <c r="AF70" i="12"/>
  <c r="AG70" i="12" s="1"/>
  <c r="AB93" i="12"/>
  <c r="AF93" i="12"/>
  <c r="AB256" i="12"/>
  <c r="AF256" i="12"/>
  <c r="AG256" i="12" s="1"/>
  <c r="AB154" i="12"/>
  <c r="AC154" i="12" s="1"/>
  <c r="AF154" i="12"/>
  <c r="AG154" i="12" s="1"/>
  <c r="L16" i="4"/>
  <c r="N16" i="4"/>
  <c r="N17" i="4"/>
  <c r="L17" i="4"/>
  <c r="AC75" i="12"/>
  <c r="AH75" i="12"/>
  <c r="AH228" i="12"/>
  <c r="AH148" i="12"/>
  <c r="AJ148" i="12" s="1"/>
  <c r="AK148" i="12" s="1"/>
  <c r="AH143" i="12"/>
  <c r="AJ143" i="12" s="1"/>
  <c r="AK143" i="12" s="1"/>
  <c r="AD172" i="12"/>
  <c r="AH172" i="12" s="1"/>
  <c r="AJ172" i="12" s="1"/>
  <c r="AK172" i="12" s="1"/>
  <c r="AD135" i="12"/>
  <c r="AB185" i="12"/>
  <c r="AC185" i="12" s="1"/>
  <c r="AF185" i="12"/>
  <c r="AG185" i="12" s="1"/>
  <c r="AB232" i="12"/>
  <c r="AC232" i="12" s="1"/>
  <c r="AF232" i="12"/>
  <c r="AG232" i="12" s="1"/>
  <c r="AB56" i="12"/>
  <c r="AF56" i="12"/>
  <c r="AG56" i="12" s="1"/>
  <c r="AF21" i="12"/>
  <c r="AB21" i="12"/>
  <c r="AC25" i="12"/>
  <c r="AD171" i="12"/>
  <c r="AD94" i="12"/>
  <c r="AF31" i="12"/>
  <c r="AB31" i="12"/>
  <c r="AB196" i="12"/>
  <c r="AF196" i="12"/>
  <c r="AG196" i="12" s="1"/>
  <c r="AB251" i="12"/>
  <c r="AF251" i="12"/>
  <c r="AF42" i="12"/>
  <c r="AB42" i="12"/>
  <c r="AB79" i="12"/>
  <c r="AC79" i="12" s="1"/>
  <c r="AF79" i="12"/>
  <c r="AG79" i="12" s="1"/>
  <c r="AB257" i="12"/>
  <c r="AC257" i="12" s="1"/>
  <c r="AF257" i="12"/>
  <c r="AG257" i="12" s="1"/>
  <c r="AF217" i="12"/>
  <c r="AB217" i="12"/>
  <c r="AC271" i="12"/>
  <c r="AH271" i="12"/>
  <c r="L13" i="4"/>
  <c r="N13" i="4"/>
  <c r="AD203" i="12"/>
  <c r="AD152" i="12"/>
  <c r="AF105" i="12"/>
  <c r="AG105" i="12" s="1"/>
  <c r="AB105" i="12"/>
  <c r="AC105" i="12" s="1"/>
  <c r="AB297" i="12"/>
  <c r="AC297" i="12" s="1"/>
  <c r="AF297" i="12"/>
  <c r="AG297" i="12" s="1"/>
  <c r="AD304" i="12"/>
  <c r="AD81" i="12"/>
  <c r="AN82" i="12" s="1"/>
  <c r="AD205" i="12"/>
  <c r="AD123" i="12"/>
  <c r="AH123" i="12" s="1"/>
  <c r="AD79" i="12"/>
  <c r="AD302" i="12"/>
  <c r="AD125" i="12"/>
  <c r="AD185" i="12"/>
  <c r="AB204" i="12"/>
  <c r="AF204" i="12"/>
  <c r="AG204" i="12" s="1"/>
  <c r="AF239" i="12"/>
  <c r="AG239" i="12" s="1"/>
  <c r="AB239" i="12"/>
  <c r="AC239" i="12" s="1"/>
  <c r="AB160" i="12"/>
  <c r="AF160" i="12"/>
  <c r="AG160" i="12" s="1"/>
  <c r="AB291" i="12"/>
  <c r="AF291" i="12"/>
  <c r="AG291" i="12" s="1"/>
  <c r="AB303" i="12"/>
  <c r="AF303" i="12"/>
  <c r="AB293" i="12"/>
  <c r="AF293" i="12"/>
  <c r="AF197" i="12"/>
  <c r="AB197" i="12"/>
  <c r="AF220" i="12"/>
  <c r="AG220" i="12" s="1"/>
  <c r="AB220" i="12"/>
  <c r="AC220" i="12" s="1"/>
  <c r="AF286" i="12"/>
  <c r="AG286" i="12" s="1"/>
  <c r="AB286" i="12"/>
  <c r="AC286" i="12" s="1"/>
  <c r="AB44" i="12"/>
  <c r="AF44" i="12"/>
  <c r="AG44" i="12" s="1"/>
  <c r="AB72" i="12"/>
  <c r="AF72" i="12"/>
  <c r="AG72" i="12" s="1"/>
  <c r="AF184" i="12"/>
  <c r="AG184" i="12" s="1"/>
  <c r="AB184" i="12"/>
  <c r="AF192" i="12"/>
  <c r="AB192" i="12"/>
  <c r="AF102" i="12"/>
  <c r="AG102" i="12" s="1"/>
  <c r="AB102" i="12"/>
  <c r="AB230" i="12"/>
  <c r="AF230" i="12"/>
  <c r="AG230" i="12" s="1"/>
  <c r="E33" i="18"/>
  <c r="L44" i="18"/>
  <c r="E44" i="18" s="1"/>
  <c r="E36" i="18"/>
  <c r="E41" i="18"/>
  <c r="E39" i="18"/>
  <c r="E38" i="18"/>
  <c r="E42" i="18"/>
  <c r="E30" i="18"/>
  <c r="E32" i="18"/>
  <c r="E27" i="18"/>
  <c r="AF173" i="12"/>
  <c r="AG173" i="12" s="1"/>
  <c r="AB173" i="12"/>
  <c r="AC173" i="12" s="1"/>
  <c r="AF139" i="12"/>
  <c r="AB139" i="12"/>
  <c r="AB170" i="12"/>
  <c r="AC170" i="12" s="1"/>
  <c r="AF170" i="12"/>
  <c r="AG170" i="12" s="1"/>
  <c r="AF212" i="12"/>
  <c r="AG212" i="12" s="1"/>
  <c r="AB212" i="12"/>
  <c r="AB194" i="12"/>
  <c r="AC194" i="12" s="1"/>
  <c r="AF194" i="12"/>
  <c r="AG194" i="12" s="1"/>
  <c r="AB59" i="12"/>
  <c r="AF59" i="12"/>
  <c r="AB76" i="12"/>
  <c r="AF76" i="12"/>
  <c r="AG76" i="12" s="1"/>
  <c r="AF26" i="12"/>
  <c r="AG26" i="12" s="1"/>
  <c r="AB26" i="12"/>
  <c r="AB134" i="12"/>
  <c r="AF134" i="12"/>
  <c r="AG134" i="12" s="1"/>
  <c r="AB275" i="12"/>
  <c r="AF275" i="12"/>
  <c r="AG275" i="12" s="1"/>
  <c r="AB246" i="12"/>
  <c r="AF246" i="12"/>
  <c r="AG246" i="12" s="1"/>
  <c r="AB111" i="12"/>
  <c r="AF111" i="12"/>
  <c r="AF266" i="12"/>
  <c r="AG266" i="12" s="1"/>
  <c r="AB266" i="12"/>
  <c r="AC128" i="12"/>
  <c r="AH128" i="12"/>
  <c r="N18" i="4"/>
  <c r="L18" i="4"/>
  <c r="AC80" i="12"/>
  <c r="AH36" i="12"/>
  <c r="AJ36" i="12" s="1"/>
  <c r="AK36" i="12" s="1"/>
  <c r="AD117" i="12"/>
  <c r="AF121" i="12"/>
  <c r="AG121" i="12" s="1"/>
  <c r="AB121" i="12"/>
  <c r="AB233" i="12"/>
  <c r="AF233" i="12"/>
  <c r="M104" i="15"/>
  <c r="L93" i="15"/>
  <c r="AF69" i="12"/>
  <c r="AG69" i="12" s="1"/>
  <c r="AB69" i="12"/>
  <c r="AF150" i="12"/>
  <c r="AG150" i="12" s="1"/>
  <c r="AB150" i="12"/>
  <c r="AD120" i="12"/>
  <c r="G27" i="2"/>
  <c r="G28" i="2" s="1"/>
  <c r="F28" i="2"/>
  <c r="AF252" i="12"/>
  <c r="AG252" i="12" s="1"/>
  <c r="AB252" i="12"/>
  <c r="AF167" i="12"/>
  <c r="AG167" i="12" s="1"/>
  <c r="AB167" i="12"/>
  <c r="AC167" i="12" s="1"/>
  <c r="AF164" i="12"/>
  <c r="AG164" i="12" s="1"/>
  <c r="AB164" i="12"/>
  <c r="AF46" i="12"/>
  <c r="AG46" i="12" s="1"/>
  <c r="AB46" i="12"/>
  <c r="AB118" i="12"/>
  <c r="AF118" i="12"/>
  <c r="AG118" i="12" s="1"/>
  <c r="AC198" i="12"/>
  <c r="AD167" i="12"/>
  <c r="AD112" i="12"/>
  <c r="AB86" i="12"/>
  <c r="AF86" i="12"/>
  <c r="AG86" i="12" s="1"/>
  <c r="AB101" i="12"/>
  <c r="AF101" i="12"/>
  <c r="AF115" i="12"/>
  <c r="AB115" i="12"/>
  <c r="AB98" i="12"/>
  <c r="AF98" i="12"/>
  <c r="AG98" i="12" s="1"/>
  <c r="AF88" i="12"/>
  <c r="AB88" i="12"/>
  <c r="AF215" i="12"/>
  <c r="AG215" i="12" s="1"/>
  <c r="AB215" i="12"/>
  <c r="AC215" i="12" s="1"/>
  <c r="AF61" i="12"/>
  <c r="AB61" i="12"/>
  <c r="AF113" i="12"/>
  <c r="AB113" i="12"/>
  <c r="AG271" i="12"/>
  <c r="L14" i="4"/>
  <c r="N14" i="4"/>
  <c r="AD37" i="12"/>
  <c r="AD157" i="12"/>
  <c r="AD227" i="12"/>
  <c r="AN228" i="12" s="1"/>
  <c r="AD253" i="12"/>
  <c r="AD40" i="12"/>
  <c r="AD159" i="12"/>
  <c r="AH159" i="12" s="1"/>
  <c r="AD288" i="12"/>
  <c r="AN288" i="12" s="1"/>
  <c r="AD213" i="12"/>
  <c r="AD232" i="12"/>
  <c r="AD122" i="12"/>
  <c r="AC228" i="12"/>
  <c r="AF189" i="12"/>
  <c r="AB189" i="12"/>
  <c r="AF205" i="12"/>
  <c r="AG205" i="12" s="1"/>
  <c r="AB205" i="12"/>
  <c r="AC205" i="12" s="1"/>
  <c r="AB304" i="12"/>
  <c r="AC304" i="12" s="1"/>
  <c r="AF304" i="12"/>
  <c r="AG304" i="12" s="1"/>
  <c r="AF122" i="12"/>
  <c r="AG122" i="12" s="1"/>
  <c r="AB122" i="12"/>
  <c r="AC122" i="12" s="1"/>
  <c r="E34" i="1"/>
  <c r="F34" i="1" s="1"/>
  <c r="E28" i="1"/>
  <c r="F28" i="1" s="1"/>
  <c r="L42" i="1"/>
  <c r="E42" i="1" s="1"/>
  <c r="F42" i="1" s="1"/>
  <c r="E22" i="1"/>
  <c r="E27" i="1"/>
  <c r="F27" i="1" s="1"/>
  <c r="E36" i="1"/>
  <c r="F36" i="1" s="1"/>
  <c r="E40" i="1"/>
  <c r="F40" i="1" s="1"/>
  <c r="E31" i="1"/>
  <c r="F31" i="1" s="1"/>
  <c r="E39" i="1"/>
  <c r="F39" i="1" s="1"/>
  <c r="E33" i="1"/>
  <c r="F33" i="1" s="1"/>
  <c r="E25" i="1"/>
  <c r="F25" i="1" s="1"/>
  <c r="E37" i="1"/>
  <c r="F37" i="1" s="1"/>
  <c r="L18" i="15"/>
  <c r="AF77" i="12"/>
  <c r="AB77" i="12"/>
  <c r="AF30" i="12"/>
  <c r="AG30" i="12" s="1"/>
  <c r="AB30" i="12"/>
  <c r="AF43" i="12"/>
  <c r="AG43" i="12" s="1"/>
  <c r="AB43" i="12"/>
  <c r="AF35" i="12"/>
  <c r="AG35" i="12" s="1"/>
  <c r="AB35" i="12"/>
  <c r="AC35" i="12" s="1"/>
  <c r="AF279" i="12"/>
  <c r="AG279" i="12" s="1"/>
  <c r="AB279" i="12"/>
  <c r="AF100" i="12"/>
  <c r="AG100" i="12" s="1"/>
  <c r="AB100" i="12"/>
  <c r="AB308" i="12"/>
  <c r="AC308" i="12" s="1"/>
  <c r="AF308" i="12"/>
  <c r="AG308" i="12" s="1"/>
  <c r="AB218" i="12"/>
  <c r="AF218" i="12"/>
  <c r="AG218" i="12" s="1"/>
  <c r="AF156" i="12"/>
  <c r="AG156" i="12" s="1"/>
  <c r="AB156" i="12"/>
  <c r="AB284" i="12"/>
  <c r="AF284" i="12"/>
  <c r="AG284" i="12" s="1"/>
  <c r="AF244" i="12"/>
  <c r="AG244" i="12" s="1"/>
  <c r="AB244" i="12"/>
  <c r="AB176" i="12"/>
  <c r="AF176" i="12"/>
  <c r="AG176" i="12" s="1"/>
  <c r="AB58" i="12"/>
  <c r="AF58" i="12"/>
  <c r="AB270" i="12"/>
  <c r="AF270" i="12"/>
  <c r="AG270" i="12" s="1"/>
  <c r="AB273" i="12"/>
  <c r="AF273" i="12"/>
  <c r="AB265" i="12"/>
  <c r="AF265" i="12"/>
  <c r="AG265" i="12" s="1"/>
  <c r="AB47" i="12"/>
  <c r="AF47" i="12"/>
  <c r="AF216" i="12"/>
  <c r="AG216" i="12" s="1"/>
  <c r="AB216" i="12"/>
  <c r="AF174" i="12"/>
  <c r="AG174" i="12" s="1"/>
  <c r="AB174" i="12"/>
  <c r="AB99" i="12"/>
  <c r="AF99" i="12"/>
  <c r="AG99" i="12" s="1"/>
  <c r="AF224" i="12"/>
  <c r="AG224" i="12" s="1"/>
  <c r="AB224" i="12"/>
  <c r="AB103" i="12"/>
  <c r="AF103" i="12"/>
  <c r="AG103" i="12" s="1"/>
  <c r="AF254" i="12"/>
  <c r="AG254" i="12" s="1"/>
  <c r="AB254" i="12"/>
  <c r="AC248" i="12"/>
  <c r="AC243" i="12"/>
  <c r="AH243" i="12"/>
  <c r="N19" i="4"/>
  <c r="L19" i="4"/>
  <c r="AH89" i="12"/>
  <c r="AC89" i="12"/>
  <c r="L10" i="4"/>
  <c r="N10" i="4"/>
  <c r="AC82" i="12"/>
  <c r="AH82" i="12"/>
  <c r="AH178" i="12"/>
  <c r="AJ178" i="12" s="1"/>
  <c r="AK178" i="12" s="1"/>
  <c r="AH146" i="12"/>
  <c r="AJ146" i="12" s="1"/>
  <c r="AK146" i="12" s="1"/>
  <c r="AN290" i="12" l="1"/>
  <c r="AH94" i="12"/>
  <c r="AJ94" i="12" s="1"/>
  <c r="AK94" i="12" s="1"/>
  <c r="AH188" i="12"/>
  <c r="AJ188" i="12" s="1"/>
  <c r="AK188" i="12" s="1"/>
  <c r="AH63" i="12"/>
  <c r="AJ63" i="12" s="1"/>
  <c r="AK63" i="12" s="1"/>
  <c r="AN100" i="12"/>
  <c r="AH40" i="12"/>
  <c r="AJ40" i="12" s="1"/>
  <c r="AK40" i="12" s="1"/>
  <c r="AH112" i="12"/>
  <c r="AJ112" i="12" s="1"/>
  <c r="AK112" i="12" s="1"/>
  <c r="AH80" i="12"/>
  <c r="AJ80" i="12" s="1"/>
  <c r="AK80" i="12" s="1"/>
  <c r="AN166" i="12"/>
  <c r="AH214" i="12"/>
  <c r="AJ214" i="12" s="1"/>
  <c r="AK214" i="12" s="1"/>
  <c r="AH45" i="12"/>
  <c r="AJ45" i="12" s="1"/>
  <c r="AK45" i="12" s="1"/>
  <c r="AH165" i="12"/>
  <c r="AJ165" i="12" s="1"/>
  <c r="AK165" i="12" s="1"/>
  <c r="AH132" i="12"/>
  <c r="AJ132" i="12" s="1"/>
  <c r="AK132" i="12" s="1"/>
  <c r="AH122" i="12"/>
  <c r="AJ122" i="12" s="1"/>
  <c r="AK122" i="12" s="1"/>
  <c r="AN250" i="12"/>
  <c r="AN188" i="12"/>
  <c r="AN214" i="12"/>
  <c r="AJ243" i="12"/>
  <c r="AK243" i="12" s="1"/>
  <c r="AJ25" i="12"/>
  <c r="AK25" i="12" s="1"/>
  <c r="AJ96" i="12"/>
  <c r="AK96" i="12" s="1"/>
  <c r="AJ271" i="12"/>
  <c r="AK271" i="12" s="1"/>
  <c r="AJ128" i="12"/>
  <c r="AK128" i="12" s="1"/>
  <c r="AJ75" i="12"/>
  <c r="AK75" i="12" s="1"/>
  <c r="AN276" i="12"/>
  <c r="AH161" i="12"/>
  <c r="AJ161" i="12" s="1"/>
  <c r="AK161" i="12" s="1"/>
  <c r="AH64" i="12"/>
  <c r="AJ64" i="12" s="1"/>
  <c r="AK64" i="12" s="1"/>
  <c r="AH191" i="12"/>
  <c r="AJ191" i="12" s="1"/>
  <c r="AK191" i="12" s="1"/>
  <c r="AN144" i="12"/>
  <c r="AC130" i="12"/>
  <c r="AH130" i="12"/>
  <c r="AC221" i="12"/>
  <c r="AH221" i="12"/>
  <c r="AJ228" i="12"/>
  <c r="AK228" i="12" s="1"/>
  <c r="AN240" i="12"/>
  <c r="AH290" i="12"/>
  <c r="AJ290" i="12" s="1"/>
  <c r="AK290" i="12" s="1"/>
  <c r="AH185" i="12"/>
  <c r="AJ185" i="12" s="1"/>
  <c r="AK185" i="12" s="1"/>
  <c r="AJ106" i="12"/>
  <c r="AK106" i="12" s="1"/>
  <c r="AJ307" i="12"/>
  <c r="AK307" i="12" s="1"/>
  <c r="AH239" i="12"/>
  <c r="AJ239" i="12" s="1"/>
  <c r="AK239" i="12" s="1"/>
  <c r="AJ166" i="12"/>
  <c r="AK166" i="12" s="1"/>
  <c r="AH194" i="12"/>
  <c r="AJ194" i="12" s="1"/>
  <c r="AK194" i="12" s="1"/>
  <c r="AN248" i="12"/>
  <c r="AN56" i="12"/>
  <c r="AN232" i="12"/>
  <c r="AN74" i="12"/>
  <c r="AJ89" i="12"/>
  <c r="AK89" i="12" s="1"/>
  <c r="AH227" i="12"/>
  <c r="AJ227" i="12" s="1"/>
  <c r="AK227" i="12" s="1"/>
  <c r="AH203" i="12"/>
  <c r="AJ203" i="12" s="1"/>
  <c r="AK203" i="12" s="1"/>
  <c r="AN222" i="12"/>
  <c r="AH183" i="12"/>
  <c r="AJ183" i="12" s="1"/>
  <c r="AK183" i="12" s="1"/>
  <c r="AH253" i="12"/>
  <c r="AJ253" i="12" s="1"/>
  <c r="AK253" i="12" s="1"/>
  <c r="AH205" i="12"/>
  <c r="AJ205" i="12" s="1"/>
  <c r="AK205" i="12" s="1"/>
  <c r="AH65" i="12"/>
  <c r="AJ65" i="12" s="1"/>
  <c r="AK65" i="12" s="1"/>
  <c r="AJ287" i="12"/>
  <c r="AK287" i="12" s="1"/>
  <c r="AN76" i="12"/>
  <c r="AH247" i="12"/>
  <c r="AJ247" i="12" s="1"/>
  <c r="AK247" i="12" s="1"/>
  <c r="AJ248" i="12"/>
  <c r="AK248" i="12" s="1"/>
  <c r="AN150" i="12"/>
  <c r="AH187" i="12"/>
  <c r="AJ187" i="12" s="1"/>
  <c r="AK187" i="12" s="1"/>
  <c r="AH27" i="12"/>
  <c r="AJ27" i="12" s="1"/>
  <c r="AK27" i="12" s="1"/>
  <c r="AN130" i="12"/>
  <c r="AN266" i="12"/>
  <c r="AH171" i="12"/>
  <c r="AJ171" i="12" s="1"/>
  <c r="AK171" i="12" s="1"/>
  <c r="AM172" i="12" s="1"/>
  <c r="AN270" i="12"/>
  <c r="AH272" i="12"/>
  <c r="AJ272" i="12" s="1"/>
  <c r="AK272" i="12" s="1"/>
  <c r="AN260" i="12"/>
  <c r="AN216" i="12"/>
  <c r="E25" i="2"/>
  <c r="AH289" i="12"/>
  <c r="AJ289" i="12" s="1"/>
  <c r="AK289" i="12" s="1"/>
  <c r="AN158" i="12"/>
  <c r="AN80" i="12"/>
  <c r="AN230" i="12"/>
  <c r="AH107" i="12"/>
  <c r="AJ107" i="12" s="1"/>
  <c r="AK107" i="12" s="1"/>
  <c r="AN132" i="12"/>
  <c r="AH213" i="12"/>
  <c r="AJ213" i="12" s="1"/>
  <c r="AK213" i="12" s="1"/>
  <c r="AH157" i="12"/>
  <c r="AJ157" i="12" s="1"/>
  <c r="AK157" i="12" s="1"/>
  <c r="AJ198" i="12"/>
  <c r="AK198" i="12" s="1"/>
  <c r="AN70" i="12"/>
  <c r="AH302" i="12"/>
  <c r="AJ302" i="12" s="1"/>
  <c r="AK302" i="12" s="1"/>
  <c r="AN212" i="12"/>
  <c r="AN146" i="12"/>
  <c r="AH273" i="12"/>
  <c r="AC273" i="12"/>
  <c r="AG241" i="12"/>
  <c r="AN242" i="12" s="1"/>
  <c r="AC277" i="12"/>
  <c r="AH277" i="12"/>
  <c r="AG195" i="12"/>
  <c r="AN196" i="12" s="1"/>
  <c r="AH254" i="12"/>
  <c r="AC254" i="12"/>
  <c r="AC43" i="12"/>
  <c r="AH43" i="12"/>
  <c r="AC88" i="12"/>
  <c r="AH88" i="12"/>
  <c r="AC241" i="12"/>
  <c r="AH241" i="12"/>
  <c r="AG85" i="12"/>
  <c r="AN86" i="12" s="1"/>
  <c r="AC124" i="12"/>
  <c r="AH124" i="12"/>
  <c r="AC162" i="12"/>
  <c r="AH162" i="12"/>
  <c r="AG295" i="12"/>
  <c r="AN296" i="12" s="1"/>
  <c r="AG177" i="12"/>
  <c r="AN178" i="12" s="1"/>
  <c r="AH95" i="12"/>
  <c r="AC95" i="12"/>
  <c r="AH39" i="12"/>
  <c r="AC39" i="12"/>
  <c r="AC78" i="12"/>
  <c r="AH78" i="12"/>
  <c r="AH268" i="12"/>
  <c r="AC268" i="12"/>
  <c r="AG301" i="12"/>
  <c r="AN302" i="12" s="1"/>
  <c r="AC24" i="12"/>
  <c r="AH24" i="12"/>
  <c r="AC182" i="12"/>
  <c r="AH182" i="12"/>
  <c r="AC195" i="12"/>
  <c r="AH195" i="12"/>
  <c r="AC99" i="12"/>
  <c r="AH99" i="12"/>
  <c r="AC265" i="12"/>
  <c r="AH265" i="12"/>
  <c r="AC176" i="12"/>
  <c r="AH176" i="12"/>
  <c r="AH218" i="12"/>
  <c r="AC218" i="12"/>
  <c r="AC101" i="12"/>
  <c r="AH101" i="12"/>
  <c r="AC121" i="12"/>
  <c r="AH121" i="12"/>
  <c r="AC111" i="12"/>
  <c r="AH111" i="12"/>
  <c r="AC291" i="12"/>
  <c r="AH291" i="12"/>
  <c r="AC70" i="12"/>
  <c r="AH70" i="12"/>
  <c r="AG29" i="12"/>
  <c r="AC282" i="12"/>
  <c r="AH282" i="12"/>
  <c r="AH169" i="12"/>
  <c r="AC169" i="12"/>
  <c r="AC306" i="12"/>
  <c r="AH306" i="12"/>
  <c r="AC283" i="12"/>
  <c r="AH283" i="12"/>
  <c r="AC294" i="12"/>
  <c r="AH294" i="12"/>
  <c r="AC110" i="12"/>
  <c r="AH110" i="12"/>
  <c r="AC68" i="12"/>
  <c r="AH68" i="12"/>
  <c r="AH90" i="12"/>
  <c r="AC90" i="12"/>
  <c r="AC177" i="12"/>
  <c r="AH177" i="12"/>
  <c r="AG95" i="12"/>
  <c r="AG39" i="12"/>
  <c r="AC201" i="12"/>
  <c r="AH201" i="12"/>
  <c r="AC301" i="12"/>
  <c r="AH301" i="12"/>
  <c r="AC296" i="12"/>
  <c r="AH296" i="12"/>
  <c r="AG51" i="12"/>
  <c r="AN52" i="12" s="1"/>
  <c r="AG267" i="12"/>
  <c r="AN268" i="12" s="1"/>
  <c r="AC92" i="12"/>
  <c r="AH92" i="12"/>
  <c r="AH149" i="12"/>
  <c r="AJ149" i="12" s="1"/>
  <c r="AK149" i="12" s="1"/>
  <c r="AH225" i="12"/>
  <c r="AJ225" i="12" s="1"/>
  <c r="AK225" i="12" s="1"/>
  <c r="AN210" i="12"/>
  <c r="AN168" i="12"/>
  <c r="AH120" i="12"/>
  <c r="AJ120" i="12" s="1"/>
  <c r="AK120" i="12" s="1"/>
  <c r="AN206" i="12"/>
  <c r="AN172" i="12"/>
  <c r="AN26" i="12"/>
  <c r="AH286" i="12"/>
  <c r="AJ286" i="12" s="1"/>
  <c r="AK286" i="12" s="1"/>
  <c r="AN258" i="12"/>
  <c r="AH226" i="12"/>
  <c r="AJ226" i="12" s="1"/>
  <c r="AK226" i="12" s="1"/>
  <c r="AN36" i="12"/>
  <c r="AN148" i="12"/>
  <c r="AH220" i="12"/>
  <c r="AJ220" i="12" s="1"/>
  <c r="AK220" i="12" s="1"/>
  <c r="AN292" i="12"/>
  <c r="AN298" i="12"/>
  <c r="AH129" i="12"/>
  <c r="AJ129" i="12" s="1"/>
  <c r="AK129" i="12" s="1"/>
  <c r="AH285" i="12"/>
  <c r="AJ285" i="12" s="1"/>
  <c r="AK285" i="12" s="1"/>
  <c r="AN184" i="12"/>
  <c r="AN282" i="12"/>
  <c r="AG88" i="12"/>
  <c r="AC150" i="12"/>
  <c r="AH150" i="12"/>
  <c r="AC246" i="12"/>
  <c r="AH246" i="12"/>
  <c r="AC230" i="12"/>
  <c r="AH230" i="12"/>
  <c r="AC72" i="12"/>
  <c r="AH72" i="12"/>
  <c r="AH160" i="12"/>
  <c r="AC160" i="12"/>
  <c r="AC140" i="12"/>
  <c r="AH140" i="12"/>
  <c r="AH155" i="12"/>
  <c r="AC155" i="12"/>
  <c r="AC85" i="12"/>
  <c r="AH85" i="12"/>
  <c r="E102" i="1"/>
  <c r="E104" i="1" s="1"/>
  <c r="E46" i="1" s="1"/>
  <c r="F86" i="1"/>
  <c r="F102" i="1" s="1"/>
  <c r="F104" i="1" s="1"/>
  <c r="F46" i="1" s="1"/>
  <c r="AC236" i="12"/>
  <c r="AH236" i="12"/>
  <c r="AH174" i="12"/>
  <c r="AC174" i="12"/>
  <c r="M18" i="15"/>
  <c r="M63" i="15" s="1"/>
  <c r="L65" i="15"/>
  <c r="L63" i="15"/>
  <c r="AC52" i="12"/>
  <c r="AH52" i="12"/>
  <c r="AC184" i="12"/>
  <c r="AH184" i="12"/>
  <c r="AC251" i="12"/>
  <c r="AH251" i="12"/>
  <c r="AH56" i="12"/>
  <c r="AC56" i="12"/>
  <c r="AC66" i="12"/>
  <c r="AH66" i="12"/>
  <c r="AC231" i="12"/>
  <c r="AH231" i="12"/>
  <c r="AC50" i="12"/>
  <c r="AH50" i="12"/>
  <c r="AC133" i="12"/>
  <c r="AH133" i="12"/>
  <c r="AC267" i="12"/>
  <c r="AH267" i="12"/>
  <c r="AC47" i="12"/>
  <c r="AH47" i="12"/>
  <c r="AG77" i="12"/>
  <c r="AN78" i="12" s="1"/>
  <c r="AG61" i="12"/>
  <c r="AN62" i="12" s="1"/>
  <c r="AC217" i="12"/>
  <c r="AH217" i="12"/>
  <c r="AC93" i="12"/>
  <c r="AH93" i="12"/>
  <c r="AC55" i="12"/>
  <c r="AH55" i="12"/>
  <c r="AG151" i="12"/>
  <c r="AN152" i="12" s="1"/>
  <c r="AG263" i="12"/>
  <c r="AN264" i="12" s="1"/>
  <c r="AC49" i="12"/>
  <c r="AH49" i="12"/>
  <c r="AC168" i="12"/>
  <c r="AH168" i="12"/>
  <c r="AC274" i="12"/>
  <c r="AH274" i="12"/>
  <c r="AC126" i="12"/>
  <c r="AH126" i="12"/>
  <c r="AG235" i="12"/>
  <c r="AN236" i="12" s="1"/>
  <c r="AC131" i="12"/>
  <c r="AH131" i="12"/>
  <c r="AC224" i="12"/>
  <c r="AH224" i="12"/>
  <c r="AG47" i="12"/>
  <c r="AN48" i="12" s="1"/>
  <c r="AG58" i="12"/>
  <c r="AN58" i="12" s="1"/>
  <c r="AH156" i="12"/>
  <c r="AC156" i="12"/>
  <c r="AC279" i="12"/>
  <c r="AH279" i="12"/>
  <c r="AC77" i="12"/>
  <c r="AH77" i="12"/>
  <c r="AC189" i="12"/>
  <c r="AH189" i="12"/>
  <c r="AC61" i="12"/>
  <c r="AH61" i="12"/>
  <c r="AH115" i="12"/>
  <c r="AC115" i="12"/>
  <c r="AC46" i="12"/>
  <c r="AH46" i="12"/>
  <c r="F33" i="2"/>
  <c r="D33" i="2"/>
  <c r="AC266" i="12"/>
  <c r="AH266" i="12"/>
  <c r="AC192" i="12"/>
  <c r="AH192" i="12"/>
  <c r="AG303" i="12"/>
  <c r="AG42" i="12"/>
  <c r="AN42" i="12" s="1"/>
  <c r="AG21" i="12"/>
  <c r="AN22" i="12" s="1"/>
  <c r="AG93" i="12"/>
  <c r="AN94" i="12" s="1"/>
  <c r="AG223" i="12"/>
  <c r="AN224" i="12" s="1"/>
  <c r="AC28" i="12"/>
  <c r="AH28" i="12"/>
  <c r="AG179" i="12"/>
  <c r="AN180" i="12" s="1"/>
  <c r="AG255" i="12"/>
  <c r="AC23" i="12"/>
  <c r="AH23" i="12"/>
  <c r="AC151" i="12"/>
  <c r="AH151" i="12"/>
  <c r="AC200" i="12"/>
  <c r="AH200" i="12"/>
  <c r="AC263" i="12"/>
  <c r="AH263" i="12"/>
  <c r="AG49" i="12"/>
  <c r="AN50" i="12" s="1"/>
  <c r="AC219" i="12"/>
  <c r="AH219" i="12"/>
  <c r="AC262" i="12"/>
  <c r="AH262" i="12"/>
  <c r="AC186" i="12"/>
  <c r="AH186" i="12"/>
  <c r="AC127" i="12"/>
  <c r="AH127" i="12"/>
  <c r="AC259" i="12"/>
  <c r="AH259" i="12"/>
  <c r="AG175" i="12"/>
  <c r="AN176" i="12" s="1"/>
  <c r="AG53" i="12"/>
  <c r="AN54" i="12" s="1"/>
  <c r="AC242" i="12"/>
  <c r="AH242" i="12"/>
  <c r="AC235" i="12"/>
  <c r="AH235" i="12"/>
  <c r="AC240" i="12"/>
  <c r="AH240" i="12"/>
  <c r="AC305" i="12"/>
  <c r="AH305" i="12"/>
  <c r="AN104" i="12"/>
  <c r="AH79" i="12"/>
  <c r="AJ79" i="12" s="1"/>
  <c r="AK79" i="12" s="1"/>
  <c r="E43" i="18"/>
  <c r="E45" i="18" s="1"/>
  <c r="AN204" i="12"/>
  <c r="AH297" i="12"/>
  <c r="AJ297" i="12" s="1"/>
  <c r="AK297" i="12" s="1"/>
  <c r="AH181" i="12"/>
  <c r="AJ181" i="12" s="1"/>
  <c r="AK181" i="12" s="1"/>
  <c r="AN286" i="12"/>
  <c r="AH167" i="12"/>
  <c r="AJ167" i="12" s="1"/>
  <c r="AK167" i="12" s="1"/>
  <c r="AN136" i="12"/>
  <c r="AN202" i="12"/>
  <c r="AH269" i="12"/>
  <c r="AJ269" i="12" s="1"/>
  <c r="AK269" i="12" s="1"/>
  <c r="AH249" i="12"/>
  <c r="AJ249" i="12" s="1"/>
  <c r="AK249" i="12" s="1"/>
  <c r="AH298" i="12"/>
  <c r="AJ298" i="12" s="1"/>
  <c r="AK298" i="12" s="1"/>
  <c r="AN84" i="12"/>
  <c r="AJ82" i="12"/>
  <c r="AK82" i="12" s="1"/>
  <c r="AH232" i="12"/>
  <c r="AJ232" i="12" s="1"/>
  <c r="AK232" i="12" s="1"/>
  <c r="AJ159" i="12"/>
  <c r="AK159" i="12" s="1"/>
  <c r="AH37" i="12"/>
  <c r="AJ37" i="12" s="1"/>
  <c r="AK37" i="12" s="1"/>
  <c r="AN124" i="12"/>
  <c r="AH135" i="12"/>
  <c r="AJ135" i="12" s="1"/>
  <c r="AK135" i="12" s="1"/>
  <c r="AN122" i="12"/>
  <c r="AN66" i="12"/>
  <c r="AN72" i="12"/>
  <c r="AH308" i="12"/>
  <c r="AJ308" i="12" s="1"/>
  <c r="AK308" i="12" s="1"/>
  <c r="AH222" i="12"/>
  <c r="AJ222" i="12" s="1"/>
  <c r="AK222" i="12" s="1"/>
  <c r="AH137" i="12"/>
  <c r="AJ137" i="12" s="1"/>
  <c r="AK137" i="12" s="1"/>
  <c r="AM138" i="12" s="1"/>
  <c r="AH211" i="12"/>
  <c r="AJ211" i="12" s="1"/>
  <c r="AK211" i="12" s="1"/>
  <c r="AN64" i="12"/>
  <c r="AN182" i="12"/>
  <c r="AN98" i="12"/>
  <c r="AN200" i="12"/>
  <c r="AG197" i="12"/>
  <c r="AN198" i="12" s="1"/>
  <c r="AC31" i="12"/>
  <c r="AH31" i="12"/>
  <c r="M82" i="19"/>
  <c r="M126" i="19" s="1"/>
  <c r="L126" i="19"/>
  <c r="L128" i="19"/>
  <c r="M128" i="19" s="1"/>
  <c r="AC295" i="12"/>
  <c r="AH295" i="12"/>
  <c r="AC292" i="12"/>
  <c r="AH292" i="12"/>
  <c r="AC84" i="12"/>
  <c r="AH84" i="12"/>
  <c r="AC244" i="12"/>
  <c r="AH244" i="12"/>
  <c r="AC197" i="12"/>
  <c r="AH197" i="12"/>
  <c r="AC74" i="12"/>
  <c r="AH74" i="12"/>
  <c r="AG111" i="12"/>
  <c r="AN112" i="12" s="1"/>
  <c r="AC26" i="12"/>
  <c r="AH26" i="12"/>
  <c r="AH212" i="12"/>
  <c r="AC212" i="12"/>
  <c r="AG189" i="12"/>
  <c r="AN190" i="12" s="1"/>
  <c r="D34" i="2"/>
  <c r="F34" i="2"/>
  <c r="AC303" i="12"/>
  <c r="AH303" i="12"/>
  <c r="AG251" i="12"/>
  <c r="AN252" i="12" s="1"/>
  <c r="AC278" i="12"/>
  <c r="AH278" i="12"/>
  <c r="AG305" i="12"/>
  <c r="AN306" i="12" s="1"/>
  <c r="AC270" i="12"/>
  <c r="AH270" i="12"/>
  <c r="AC98" i="12"/>
  <c r="AH98" i="12"/>
  <c r="AC69" i="12"/>
  <c r="AH69" i="12"/>
  <c r="AC293" i="12"/>
  <c r="AH293" i="12"/>
  <c r="AC42" i="12"/>
  <c r="AH42" i="12"/>
  <c r="AC21" i="12"/>
  <c r="AH21" i="12"/>
  <c r="AC256" i="12"/>
  <c r="AH256" i="12"/>
  <c r="AC280" i="12"/>
  <c r="AH280" i="12"/>
  <c r="AC179" i="12"/>
  <c r="AH179" i="12"/>
  <c r="AC255" i="12"/>
  <c r="AH255" i="12"/>
  <c r="AG109" i="12"/>
  <c r="AN110" i="12" s="1"/>
  <c r="AG193" i="12"/>
  <c r="AN194" i="12" s="1"/>
  <c r="AG163" i="12"/>
  <c r="AN164" i="12" s="1"/>
  <c r="AC108" i="12"/>
  <c r="AH108" i="12"/>
  <c r="AC299" i="12"/>
  <c r="AH299" i="12"/>
  <c r="AC180" i="12"/>
  <c r="AH180" i="12"/>
  <c r="AG34" i="12"/>
  <c r="AN34" i="12" s="1"/>
  <c r="AH144" i="12"/>
  <c r="AC144" i="12"/>
  <c r="AG219" i="12"/>
  <c r="AN220" i="12" s="1"/>
  <c r="AC158" i="12"/>
  <c r="AH158" i="12"/>
  <c r="AC54" i="12"/>
  <c r="AH54" i="12"/>
  <c r="AG127" i="12"/>
  <c r="AH175" i="12"/>
  <c r="AC175" i="12"/>
  <c r="AH53" i="12"/>
  <c r="AC53" i="12"/>
  <c r="AC250" i="12"/>
  <c r="AH250" i="12"/>
  <c r="AN44" i="12"/>
  <c r="AN272" i="12"/>
  <c r="AH154" i="12"/>
  <c r="AJ154" i="12" s="1"/>
  <c r="AK154" i="12" s="1"/>
  <c r="AN280" i="12"/>
  <c r="AH288" i="12"/>
  <c r="AJ288" i="12" s="1"/>
  <c r="AK288" i="12" s="1"/>
  <c r="AN126" i="12"/>
  <c r="AH152" i="12"/>
  <c r="AJ152" i="12" s="1"/>
  <c r="AK152" i="12" s="1"/>
  <c r="AN246" i="12"/>
  <c r="AH173" i="12"/>
  <c r="AJ173" i="12" s="1"/>
  <c r="AK173" i="12" s="1"/>
  <c r="AH153" i="12"/>
  <c r="AJ153" i="12" s="1"/>
  <c r="AK153" i="12" s="1"/>
  <c r="AN138" i="12"/>
  <c r="AN28" i="12"/>
  <c r="AH215" i="12"/>
  <c r="AJ215" i="12" s="1"/>
  <c r="AK215" i="12" s="1"/>
  <c r="AN162" i="12"/>
  <c r="AH83" i="12"/>
  <c r="AJ83" i="12" s="1"/>
  <c r="AK83" i="12" s="1"/>
  <c r="AH105" i="12"/>
  <c r="AJ105" i="12" s="1"/>
  <c r="AK105" i="12" s="1"/>
  <c r="AH97" i="12"/>
  <c r="AJ97" i="12" s="1"/>
  <c r="AK97" i="12" s="1"/>
  <c r="AC86" i="12"/>
  <c r="AH86" i="12"/>
  <c r="AC76" i="12"/>
  <c r="AH76" i="12"/>
  <c r="AC32" i="12"/>
  <c r="AH32" i="12"/>
  <c r="AC281" i="12"/>
  <c r="AH281" i="12"/>
  <c r="AC91" i="12"/>
  <c r="AH91" i="12"/>
  <c r="AC260" i="12"/>
  <c r="AH260" i="12"/>
  <c r="AG237" i="12"/>
  <c r="AN238" i="12" s="1"/>
  <c r="AC209" i="12"/>
  <c r="AH209" i="12"/>
  <c r="AG273" i="12"/>
  <c r="AN274" i="12" s="1"/>
  <c r="AH196" i="12"/>
  <c r="AC196" i="12"/>
  <c r="AG101" i="12"/>
  <c r="AN102" i="12" s="1"/>
  <c r="AC164" i="12"/>
  <c r="AH164" i="12"/>
  <c r="AC233" i="12"/>
  <c r="AH233" i="12"/>
  <c r="AG217" i="12"/>
  <c r="AN218" i="12" s="1"/>
  <c r="AC29" i="12"/>
  <c r="AH29" i="12"/>
  <c r="AH261" i="12"/>
  <c r="AC261" i="12"/>
  <c r="AG283" i="12"/>
  <c r="AN284" i="12" s="1"/>
  <c r="AG68" i="12"/>
  <c r="AN68" i="12" s="1"/>
  <c r="AC119" i="12"/>
  <c r="AH119" i="12"/>
  <c r="AC206" i="12"/>
  <c r="AH206" i="12"/>
  <c r="AG208" i="12"/>
  <c r="AC51" i="12"/>
  <c r="AH51" i="12"/>
  <c r="AC276" i="12"/>
  <c r="AH276" i="12"/>
  <c r="AC58" i="12"/>
  <c r="AH58" i="12"/>
  <c r="AG115" i="12"/>
  <c r="AN116" i="12" s="1"/>
  <c r="AG233" i="12"/>
  <c r="AN234" i="12" s="1"/>
  <c r="AC134" i="12"/>
  <c r="AH134" i="12"/>
  <c r="AG192" i="12"/>
  <c r="AN192" i="12" s="1"/>
  <c r="AC204" i="12"/>
  <c r="AH204" i="12"/>
  <c r="AC223" i="12"/>
  <c r="AH223" i="12"/>
  <c r="AG261" i="12"/>
  <c r="AN262" i="12" s="1"/>
  <c r="AG23" i="12"/>
  <c r="AN24" i="12" s="1"/>
  <c r="AC38" i="12"/>
  <c r="AH38" i="12"/>
  <c r="AG119" i="12"/>
  <c r="AN120" i="12" s="1"/>
  <c r="AC202" i="12"/>
  <c r="AH202" i="12"/>
  <c r="AC210" i="12"/>
  <c r="AH210" i="12"/>
  <c r="AG133" i="12"/>
  <c r="AN134" i="12" s="1"/>
  <c r="AC208" i="12"/>
  <c r="AH208" i="12"/>
  <c r="AC103" i="12"/>
  <c r="AH103" i="12"/>
  <c r="AC284" i="12"/>
  <c r="AH284" i="12"/>
  <c r="AG113" i="12"/>
  <c r="AN114" i="12" s="1"/>
  <c r="AC118" i="12"/>
  <c r="AH118" i="12"/>
  <c r="AC275" i="12"/>
  <c r="AH275" i="12"/>
  <c r="AC59" i="12"/>
  <c r="AH59" i="12"/>
  <c r="AG139" i="12"/>
  <c r="AC44" i="12"/>
  <c r="AH44" i="12"/>
  <c r="AC216" i="12"/>
  <c r="AH216" i="12"/>
  <c r="AC100" i="12"/>
  <c r="AH100" i="12"/>
  <c r="AC30" i="12"/>
  <c r="AH30" i="12"/>
  <c r="F22" i="1"/>
  <c r="F41" i="1" s="1"/>
  <c r="F44" i="1" s="1"/>
  <c r="E41" i="1"/>
  <c r="E44" i="1" s="1"/>
  <c r="AC113" i="12"/>
  <c r="AH113" i="12"/>
  <c r="AH252" i="12"/>
  <c r="AC252" i="12"/>
  <c r="M93" i="15"/>
  <c r="M137" i="15" s="1"/>
  <c r="L139" i="15"/>
  <c r="M139" i="15" s="1"/>
  <c r="L137" i="15"/>
  <c r="AG59" i="12"/>
  <c r="AN60" i="12" s="1"/>
  <c r="AC139" i="12"/>
  <c r="AH139" i="12"/>
  <c r="AH102" i="12"/>
  <c r="AC102" i="12"/>
  <c r="AG293" i="12"/>
  <c r="AN294" i="12" s="1"/>
  <c r="AG31" i="12"/>
  <c r="AN32" i="12" s="1"/>
  <c r="L56" i="19"/>
  <c r="M19" i="19"/>
  <c r="M54" i="19" s="1"/>
  <c r="L54" i="19"/>
  <c r="AC48" i="12"/>
  <c r="AH48" i="12"/>
  <c r="AG277" i="12"/>
  <c r="AN278" i="12" s="1"/>
  <c r="AG155" i="12"/>
  <c r="AN156" i="12" s="1"/>
  <c r="AC109" i="12"/>
  <c r="AH109" i="12"/>
  <c r="AC258" i="12"/>
  <c r="AH258" i="12"/>
  <c r="AC193" i="12"/>
  <c r="AH193" i="12"/>
  <c r="AC163" i="12"/>
  <c r="AH163" i="12"/>
  <c r="AC145" i="12"/>
  <c r="AH145" i="12"/>
  <c r="AG108" i="12"/>
  <c r="AN108" i="12" s="1"/>
  <c r="AG299" i="12"/>
  <c r="AN300" i="12" s="1"/>
  <c r="AC34" i="12"/>
  <c r="AH34" i="12"/>
  <c r="AG91" i="12"/>
  <c r="AN92" i="12" s="1"/>
  <c r="AC116" i="12"/>
  <c r="AH116" i="12"/>
  <c r="AC136" i="12"/>
  <c r="AH136" i="12"/>
  <c r="AC237" i="12"/>
  <c r="AH237" i="12"/>
  <c r="AC300" i="12"/>
  <c r="AH300" i="12"/>
  <c r="AC104" i="12"/>
  <c r="AH104" i="12"/>
  <c r="AC22" i="12"/>
  <c r="AH22" i="12"/>
  <c r="AC264" i="12"/>
  <c r="AH264" i="12"/>
  <c r="AN226" i="12"/>
  <c r="AN186" i="12"/>
  <c r="AH81" i="12"/>
  <c r="AJ81" i="12" s="1"/>
  <c r="AK81" i="12" s="1"/>
  <c r="AH257" i="12"/>
  <c r="AJ257" i="12" s="1"/>
  <c r="AK257" i="12" s="1"/>
  <c r="AH147" i="12"/>
  <c r="AJ147" i="12" s="1"/>
  <c r="AK147" i="12" s="1"/>
  <c r="AM148" i="12" s="1"/>
  <c r="AN308" i="12"/>
  <c r="AN160" i="12"/>
  <c r="AH170" i="12"/>
  <c r="AJ170" i="12" s="1"/>
  <c r="AK170" i="12" s="1"/>
  <c r="AN170" i="12"/>
  <c r="AN38" i="12"/>
  <c r="AH304" i="12"/>
  <c r="AJ304" i="12" s="1"/>
  <c r="AK304" i="12" s="1"/>
  <c r="AN174" i="12"/>
  <c r="AH35" i="12"/>
  <c r="AJ35" i="12" s="1"/>
  <c r="AK35" i="12" s="1"/>
  <c r="AM36" i="12" s="1"/>
  <c r="AN254" i="12"/>
  <c r="AH117" i="12"/>
  <c r="AJ117" i="12" s="1"/>
  <c r="AK117" i="12" s="1"/>
  <c r="AN244" i="12"/>
  <c r="AN118" i="12"/>
  <c r="AH125" i="12"/>
  <c r="AJ125" i="12" s="1"/>
  <c r="AK125" i="12" s="1"/>
  <c r="AJ123" i="12"/>
  <c r="AK123" i="12" s="1"/>
  <c r="AN90" i="12"/>
  <c r="AN154" i="12"/>
  <c r="AH71" i="12"/>
  <c r="AJ71" i="12" s="1"/>
  <c r="AK71" i="12" s="1"/>
  <c r="AH141" i="12"/>
  <c r="AJ141" i="12" s="1"/>
  <c r="AK141" i="12" s="1"/>
  <c r="AM142" i="12" s="1"/>
  <c r="AN46" i="12"/>
  <c r="AH229" i="12"/>
  <c r="AJ229" i="12" s="1"/>
  <c r="AK229" i="12" s="1"/>
  <c r="AH73" i="12"/>
  <c r="AJ73" i="12" s="1"/>
  <c r="AK73" i="12" s="1"/>
  <c r="AN106" i="12"/>
  <c r="AH199" i="12"/>
  <c r="AJ199" i="12" s="1"/>
  <c r="AK199" i="12" s="1"/>
  <c r="AJ206" i="12" l="1"/>
  <c r="AK206" i="12" s="1"/>
  <c r="AM206" i="12" s="1"/>
  <c r="AO206" i="12" s="1"/>
  <c r="AJ76" i="12"/>
  <c r="AK76" i="12" s="1"/>
  <c r="AM76" i="12" s="1"/>
  <c r="AS76" i="12" s="1"/>
  <c r="Q76" i="12" s="1"/>
  <c r="AJ186" i="12"/>
  <c r="AK186" i="12" s="1"/>
  <c r="AM186" i="12" s="1"/>
  <c r="AJ221" i="12"/>
  <c r="AK221" i="12" s="1"/>
  <c r="AM222" i="12" s="1"/>
  <c r="AO222" i="12" s="1"/>
  <c r="AM106" i="12"/>
  <c r="AU106" i="12" s="1"/>
  <c r="S106" i="12" s="1"/>
  <c r="AM188" i="12"/>
  <c r="AO188" i="12" s="1"/>
  <c r="AM214" i="12"/>
  <c r="AT214" i="12" s="1"/>
  <c r="R214" i="12" s="1"/>
  <c r="AM228" i="12"/>
  <c r="AS228" i="12" s="1"/>
  <c r="Q228" i="12" s="1"/>
  <c r="AJ156" i="12"/>
  <c r="AK156" i="12" s="1"/>
  <c r="AJ174" i="12"/>
  <c r="AK174" i="12" s="1"/>
  <c r="AM174" i="12" s="1"/>
  <c r="AM64" i="12"/>
  <c r="AT64" i="12" s="1"/>
  <c r="R64" i="12" s="1"/>
  <c r="F48" i="1"/>
  <c r="AJ77" i="12"/>
  <c r="AK77" i="12" s="1"/>
  <c r="AJ264" i="12"/>
  <c r="AK264" i="12" s="1"/>
  <c r="AJ252" i="12"/>
  <c r="AK252" i="12" s="1"/>
  <c r="AJ276" i="12"/>
  <c r="AK276" i="12" s="1"/>
  <c r="AJ212" i="12"/>
  <c r="AK212" i="12" s="1"/>
  <c r="AM212" i="12" s="1"/>
  <c r="AJ224" i="12"/>
  <c r="AK224" i="12" s="1"/>
  <c r="AJ246" i="12"/>
  <c r="AK246" i="12" s="1"/>
  <c r="AM246" i="12" s="1"/>
  <c r="AO246" i="12" s="1"/>
  <c r="AJ88" i="12"/>
  <c r="AK88" i="12" s="1"/>
  <c r="AM88" i="12" s="1"/>
  <c r="AT88" i="12" s="1"/>
  <c r="R88" i="12" s="1"/>
  <c r="AJ218" i="12"/>
  <c r="AK218" i="12" s="1"/>
  <c r="AM166" i="12"/>
  <c r="AT166" i="12" s="1"/>
  <c r="R166" i="12" s="1"/>
  <c r="AJ176" i="12"/>
  <c r="AK176" i="12" s="1"/>
  <c r="AJ99" i="12"/>
  <c r="AK99" i="12" s="1"/>
  <c r="AJ43" i="12"/>
  <c r="AK43" i="12" s="1"/>
  <c r="AJ145" i="12"/>
  <c r="AK145" i="12" s="1"/>
  <c r="AM146" i="12" s="1"/>
  <c r="AT146" i="12" s="1"/>
  <c r="R146" i="12" s="1"/>
  <c r="AJ109" i="12"/>
  <c r="AK109" i="12" s="1"/>
  <c r="AJ100" i="12"/>
  <c r="AK100" i="12" s="1"/>
  <c r="AJ103" i="12"/>
  <c r="AK103" i="12" s="1"/>
  <c r="AJ204" i="12"/>
  <c r="AK204" i="12" s="1"/>
  <c r="AM204" i="12" s="1"/>
  <c r="AJ260" i="12"/>
  <c r="AK260" i="12" s="1"/>
  <c r="AJ201" i="12"/>
  <c r="AK201" i="12" s="1"/>
  <c r="AJ294" i="12"/>
  <c r="AK294" i="12" s="1"/>
  <c r="AJ306" i="12"/>
  <c r="AK306" i="12" s="1"/>
  <c r="AM272" i="12"/>
  <c r="AU272" i="12" s="1"/>
  <c r="S272" i="12" s="1"/>
  <c r="AJ144" i="12"/>
  <c r="AK144" i="12" s="1"/>
  <c r="AM144" i="12" s="1"/>
  <c r="AS144" i="12" s="1"/>
  <c r="Q144" i="12" s="1"/>
  <c r="AM308" i="12"/>
  <c r="AT308" i="12" s="1"/>
  <c r="R308" i="12" s="1"/>
  <c r="AJ200" i="12"/>
  <c r="AK200" i="12" s="1"/>
  <c r="AM200" i="12" s="1"/>
  <c r="AJ23" i="12"/>
  <c r="AK23" i="12" s="1"/>
  <c r="AJ158" i="12"/>
  <c r="AK158" i="12" s="1"/>
  <c r="AM158" i="12" s="1"/>
  <c r="AS158" i="12" s="1"/>
  <c r="Q158" i="12" s="1"/>
  <c r="AM80" i="12"/>
  <c r="AT80" i="12" s="1"/>
  <c r="R80" i="12" s="1"/>
  <c r="AJ274" i="12"/>
  <c r="AK274" i="12" s="1"/>
  <c r="AJ55" i="12"/>
  <c r="AK55" i="12" s="1"/>
  <c r="AJ217" i="12"/>
  <c r="AK217" i="12" s="1"/>
  <c r="AJ70" i="12"/>
  <c r="AK70" i="12" s="1"/>
  <c r="AJ235" i="12"/>
  <c r="AK235" i="12" s="1"/>
  <c r="AJ254" i="12"/>
  <c r="AK254" i="12" s="1"/>
  <c r="AM254" i="12" s="1"/>
  <c r="AJ277" i="12"/>
  <c r="AK277" i="12" s="1"/>
  <c r="AJ56" i="12"/>
  <c r="AK56" i="12" s="1"/>
  <c r="AJ162" i="12"/>
  <c r="AK162" i="12" s="1"/>
  <c r="AM162" i="12" s="1"/>
  <c r="AJ209" i="12"/>
  <c r="AK209" i="12" s="1"/>
  <c r="AJ256" i="12"/>
  <c r="AK256" i="12" s="1"/>
  <c r="AJ28" i="12"/>
  <c r="AK28" i="12" s="1"/>
  <c r="AM28" i="12" s="1"/>
  <c r="AJ133" i="12"/>
  <c r="AK133" i="12" s="1"/>
  <c r="AJ231" i="12"/>
  <c r="AK231" i="12" s="1"/>
  <c r="AM232" i="12" s="1"/>
  <c r="AJ184" i="12"/>
  <c r="AK184" i="12" s="1"/>
  <c r="AM184" i="12" s="1"/>
  <c r="AS184" i="12" s="1"/>
  <c r="Q184" i="12" s="1"/>
  <c r="AJ230" i="12"/>
  <c r="AK230" i="12" s="1"/>
  <c r="AM230" i="12" s="1"/>
  <c r="AO230" i="12" s="1"/>
  <c r="AJ39" i="12"/>
  <c r="AK39" i="12" s="1"/>
  <c r="AM40" i="12" s="1"/>
  <c r="AT40" i="12" s="1"/>
  <c r="R40" i="12" s="1"/>
  <c r="AJ291" i="12"/>
  <c r="AK291" i="12" s="1"/>
  <c r="AJ258" i="12"/>
  <c r="AK258" i="12" s="1"/>
  <c r="AM258" i="12" s="1"/>
  <c r="AJ113" i="12"/>
  <c r="AK113" i="12" s="1"/>
  <c r="AM114" i="12" s="1"/>
  <c r="AO114" i="12" s="1"/>
  <c r="AJ30" i="12"/>
  <c r="AK30" i="12" s="1"/>
  <c r="AJ216" i="12"/>
  <c r="AK216" i="12" s="1"/>
  <c r="AM216" i="12" s="1"/>
  <c r="AT216" i="12" s="1"/>
  <c r="R216" i="12" s="1"/>
  <c r="AJ284" i="12"/>
  <c r="AK284" i="12" s="1"/>
  <c r="AJ223" i="12"/>
  <c r="AK223" i="12" s="1"/>
  <c r="AJ58" i="12"/>
  <c r="AK58" i="12" s="1"/>
  <c r="AM58" i="12" s="1"/>
  <c r="AS58" i="12" s="1"/>
  <c r="Q58" i="12" s="1"/>
  <c r="AJ54" i="12"/>
  <c r="AK54" i="12" s="1"/>
  <c r="AJ180" i="12"/>
  <c r="AK180" i="12" s="1"/>
  <c r="AJ26" i="12"/>
  <c r="AK26" i="12" s="1"/>
  <c r="AM26" i="12" s="1"/>
  <c r="AT26" i="12" s="1"/>
  <c r="R26" i="12" s="1"/>
  <c r="AJ295" i="12"/>
  <c r="AK295" i="12" s="1"/>
  <c r="AJ240" i="12"/>
  <c r="AK240" i="12" s="1"/>
  <c r="AM240" i="12" s="1"/>
  <c r="AJ259" i="12"/>
  <c r="AK259" i="12" s="1"/>
  <c r="AJ219" i="12"/>
  <c r="AK219" i="12" s="1"/>
  <c r="AM220" i="12" s="1"/>
  <c r="AO220" i="12" s="1"/>
  <c r="AJ131" i="12"/>
  <c r="AK131" i="12" s="1"/>
  <c r="AM132" i="12" s="1"/>
  <c r="AT132" i="12" s="1"/>
  <c r="R132" i="12" s="1"/>
  <c r="AJ168" i="12"/>
  <c r="AK168" i="12" s="1"/>
  <c r="AM168" i="12" s="1"/>
  <c r="AJ301" i="12"/>
  <c r="AK301" i="12" s="1"/>
  <c r="AM302" i="12" s="1"/>
  <c r="AT302" i="12" s="1"/>
  <c r="R302" i="12" s="1"/>
  <c r="AJ90" i="12"/>
  <c r="AK90" i="12" s="1"/>
  <c r="AM90" i="12" s="1"/>
  <c r="AS90" i="12" s="1"/>
  <c r="Q90" i="12" s="1"/>
  <c r="AJ110" i="12"/>
  <c r="AK110" i="12" s="1"/>
  <c r="AJ265" i="12"/>
  <c r="AK265" i="12" s="1"/>
  <c r="AJ195" i="12"/>
  <c r="AK195" i="12" s="1"/>
  <c r="AJ24" i="12"/>
  <c r="AK24" i="12" s="1"/>
  <c r="AJ124" i="12"/>
  <c r="AK124" i="12" s="1"/>
  <c r="AM124" i="12" s="1"/>
  <c r="AM290" i="12"/>
  <c r="AT290" i="12" s="1"/>
  <c r="R290" i="12" s="1"/>
  <c r="AJ130" i="12"/>
  <c r="AK130" i="12" s="1"/>
  <c r="AM130" i="12" s="1"/>
  <c r="AJ49" i="12"/>
  <c r="AK49" i="12" s="1"/>
  <c r="AJ104" i="12"/>
  <c r="AK104" i="12" s="1"/>
  <c r="AJ116" i="12"/>
  <c r="AK116" i="12" s="1"/>
  <c r="AJ275" i="12"/>
  <c r="AK275" i="12" s="1"/>
  <c r="AJ179" i="12"/>
  <c r="AK179" i="12" s="1"/>
  <c r="AJ42" i="12"/>
  <c r="AK42" i="12" s="1"/>
  <c r="AM42" i="12" s="1"/>
  <c r="AO42" i="12" s="1"/>
  <c r="AJ74" i="12"/>
  <c r="AK74" i="12" s="1"/>
  <c r="AM74" i="12" s="1"/>
  <c r="AJ126" i="12"/>
  <c r="AK126" i="12" s="1"/>
  <c r="AM126" i="12" s="1"/>
  <c r="AJ29" i="12"/>
  <c r="AK29" i="12" s="1"/>
  <c r="AJ121" i="12"/>
  <c r="AK121" i="12" s="1"/>
  <c r="AM122" i="12" s="1"/>
  <c r="AO122" i="12" s="1"/>
  <c r="AJ22" i="12"/>
  <c r="AK22" i="12" s="1"/>
  <c r="AJ300" i="12"/>
  <c r="AK300" i="12" s="1"/>
  <c r="AJ136" i="12"/>
  <c r="AK136" i="12" s="1"/>
  <c r="AM136" i="12" s="1"/>
  <c r="AJ102" i="12"/>
  <c r="AK102" i="12" s="1"/>
  <c r="E48" i="1"/>
  <c r="AJ59" i="12"/>
  <c r="AK59" i="12" s="1"/>
  <c r="AM60" i="12" s="1"/>
  <c r="AS60" i="12" s="1"/>
  <c r="Q60" i="12" s="1"/>
  <c r="AJ202" i="12"/>
  <c r="AK202" i="12" s="1"/>
  <c r="AM288" i="12"/>
  <c r="AS288" i="12" s="1"/>
  <c r="Q288" i="12" s="1"/>
  <c r="AJ250" i="12"/>
  <c r="AK250" i="12" s="1"/>
  <c r="AM250" i="12" s="1"/>
  <c r="AJ21" i="12"/>
  <c r="AK21" i="12" s="1"/>
  <c r="AJ293" i="12"/>
  <c r="AK293" i="12" s="1"/>
  <c r="AJ98" i="12"/>
  <c r="AK98" i="12" s="1"/>
  <c r="AM98" i="12" s="1"/>
  <c r="AO98" i="12" s="1"/>
  <c r="AJ278" i="12"/>
  <c r="AK278" i="12" s="1"/>
  <c r="AJ84" i="12"/>
  <c r="AK84" i="12" s="1"/>
  <c r="AM84" i="12" s="1"/>
  <c r="AJ303" i="12"/>
  <c r="AK303" i="12" s="1"/>
  <c r="AM304" i="12" s="1"/>
  <c r="AJ266" i="12"/>
  <c r="AK266" i="12" s="1"/>
  <c r="AJ267" i="12"/>
  <c r="AK267" i="12" s="1"/>
  <c r="AJ50" i="12"/>
  <c r="AK50" i="12" s="1"/>
  <c r="AJ66" i="12"/>
  <c r="AK66" i="12" s="1"/>
  <c r="AM66" i="12" s="1"/>
  <c r="AO66" i="12" s="1"/>
  <c r="AJ251" i="12"/>
  <c r="AK251" i="12" s="1"/>
  <c r="AJ52" i="12"/>
  <c r="AK52" i="12" s="1"/>
  <c r="AJ236" i="12"/>
  <c r="AK236" i="12" s="1"/>
  <c r="AJ296" i="12"/>
  <c r="AK296" i="12" s="1"/>
  <c r="D32" i="2"/>
  <c r="D35" i="2" s="1"/>
  <c r="D38" i="2" s="1"/>
  <c r="D40" i="2" s="1"/>
  <c r="F32" i="2"/>
  <c r="F35" i="2" s="1"/>
  <c r="F38" i="2" s="1"/>
  <c r="F40" i="2" s="1"/>
  <c r="AJ208" i="12"/>
  <c r="AK208" i="12" s="1"/>
  <c r="AM208" i="12" s="1"/>
  <c r="AS208" i="12" s="1"/>
  <c r="Q208" i="12" s="1"/>
  <c r="AJ151" i="12"/>
  <c r="AK151" i="12" s="1"/>
  <c r="AM152" i="12" s="1"/>
  <c r="AJ140" i="12"/>
  <c r="AK140" i="12" s="1"/>
  <c r="AN40" i="12"/>
  <c r="AJ78" i="12"/>
  <c r="AK78" i="12" s="1"/>
  <c r="AJ164" i="12"/>
  <c r="AK164" i="12" s="1"/>
  <c r="AJ31" i="12"/>
  <c r="AK31" i="12" s="1"/>
  <c r="AJ150" i="12"/>
  <c r="AK150" i="12" s="1"/>
  <c r="AM150" i="12" s="1"/>
  <c r="AJ283" i="12"/>
  <c r="AK283" i="12" s="1"/>
  <c r="AJ32" i="12"/>
  <c r="AK32" i="12" s="1"/>
  <c r="AJ280" i="12"/>
  <c r="AK280" i="12" s="1"/>
  <c r="AJ268" i="12"/>
  <c r="AK268" i="12" s="1"/>
  <c r="AJ262" i="12"/>
  <c r="AK262" i="12" s="1"/>
  <c r="AJ61" i="12"/>
  <c r="AK61" i="12" s="1"/>
  <c r="AM62" i="12" s="1"/>
  <c r="AT62" i="12" s="1"/>
  <c r="R62" i="12" s="1"/>
  <c r="AJ93" i="12"/>
  <c r="AK93" i="12" s="1"/>
  <c r="AM94" i="12" s="1"/>
  <c r="AS94" i="12" s="1"/>
  <c r="Q94" i="12" s="1"/>
  <c r="AJ85" i="12"/>
  <c r="AK85" i="12" s="1"/>
  <c r="AM286" i="12"/>
  <c r="AU286" i="12" s="1"/>
  <c r="S286" i="12" s="1"/>
  <c r="AM248" i="12"/>
  <c r="AJ193" i="12"/>
  <c r="AK193" i="12" s="1"/>
  <c r="AM194" i="12" s="1"/>
  <c r="AO194" i="12" s="1"/>
  <c r="AJ48" i="12"/>
  <c r="AK48" i="12" s="1"/>
  <c r="AJ210" i="12"/>
  <c r="AK210" i="12" s="1"/>
  <c r="AJ134" i="12"/>
  <c r="AK134" i="12" s="1"/>
  <c r="AJ119" i="12"/>
  <c r="AK119" i="12" s="1"/>
  <c r="AM120" i="12" s="1"/>
  <c r="AS120" i="12" s="1"/>
  <c r="Q120" i="12" s="1"/>
  <c r="AJ281" i="12"/>
  <c r="AK281" i="12" s="1"/>
  <c r="AJ86" i="12"/>
  <c r="AK86" i="12" s="1"/>
  <c r="AJ127" i="12"/>
  <c r="AK127" i="12" s="1"/>
  <c r="AM128" i="12" s="1"/>
  <c r="AU128" i="12" s="1"/>
  <c r="S128" i="12" s="1"/>
  <c r="AJ108" i="12"/>
  <c r="AK108" i="12" s="1"/>
  <c r="AM108" i="12" s="1"/>
  <c r="AU108" i="12" s="1"/>
  <c r="S108" i="12" s="1"/>
  <c r="AJ244" i="12"/>
  <c r="AK244" i="12" s="1"/>
  <c r="AM244" i="12" s="1"/>
  <c r="AO244" i="12" s="1"/>
  <c r="L129" i="19"/>
  <c r="AJ255" i="12"/>
  <c r="AK255" i="12" s="1"/>
  <c r="AJ279" i="12"/>
  <c r="AK279" i="12" s="1"/>
  <c r="AJ47" i="12"/>
  <c r="AK47" i="12" s="1"/>
  <c r="AJ72" i="12"/>
  <c r="AK72" i="12" s="1"/>
  <c r="AM72" i="12" s="1"/>
  <c r="AJ92" i="12"/>
  <c r="AK92" i="12" s="1"/>
  <c r="AJ177" i="12"/>
  <c r="AK177" i="12" s="1"/>
  <c r="AM178" i="12" s="1"/>
  <c r="AU178" i="12" s="1"/>
  <c r="S178" i="12" s="1"/>
  <c r="AJ282" i="12"/>
  <c r="AK282" i="12" s="1"/>
  <c r="AJ261" i="12"/>
  <c r="AK261" i="12" s="1"/>
  <c r="AJ53" i="12"/>
  <c r="AK53" i="12" s="1"/>
  <c r="AJ46" i="12"/>
  <c r="AK46" i="12" s="1"/>
  <c r="AM46" i="12" s="1"/>
  <c r="AO46" i="12" s="1"/>
  <c r="AJ68" i="12"/>
  <c r="AK68" i="12" s="1"/>
  <c r="AM68" i="12" s="1"/>
  <c r="AO68" i="12" s="1"/>
  <c r="AN208" i="12"/>
  <c r="AJ292" i="12"/>
  <c r="AK292" i="12" s="1"/>
  <c r="AN304" i="12"/>
  <c r="AJ189" i="12"/>
  <c r="AK189" i="12" s="1"/>
  <c r="AM190" i="12" s="1"/>
  <c r="AS190" i="12" s="1"/>
  <c r="Q190" i="12" s="1"/>
  <c r="AJ182" i="12"/>
  <c r="AK182" i="12" s="1"/>
  <c r="AM182" i="12" s="1"/>
  <c r="AJ51" i="12"/>
  <c r="AK51" i="12" s="1"/>
  <c r="AJ233" i="12"/>
  <c r="AK233" i="12" s="1"/>
  <c r="AM234" i="12" s="1"/>
  <c r="AU234" i="12" s="1"/>
  <c r="S234" i="12" s="1"/>
  <c r="AJ270" i="12"/>
  <c r="AK270" i="12" s="1"/>
  <c r="AM270" i="12" s="1"/>
  <c r="AJ155" i="12"/>
  <c r="AK155" i="12" s="1"/>
  <c r="AJ34" i="12"/>
  <c r="AK34" i="12" s="1"/>
  <c r="AM34" i="12" s="1"/>
  <c r="AO34" i="12" s="1"/>
  <c r="AJ139" i="12"/>
  <c r="AK139" i="12" s="1"/>
  <c r="AJ91" i="12"/>
  <c r="AK91" i="12" s="1"/>
  <c r="AJ305" i="12"/>
  <c r="AK305" i="12" s="1"/>
  <c r="AJ263" i="12"/>
  <c r="AK263" i="12" s="1"/>
  <c r="AM82" i="12"/>
  <c r="AO82" i="12" s="1"/>
  <c r="AJ237" i="12"/>
  <c r="AK237" i="12" s="1"/>
  <c r="AM238" i="12" s="1"/>
  <c r="AT238" i="12" s="1"/>
  <c r="R238" i="12" s="1"/>
  <c r="AJ163" i="12"/>
  <c r="AK163" i="12" s="1"/>
  <c r="AJ44" i="12"/>
  <c r="AK44" i="12" s="1"/>
  <c r="AJ118" i="12"/>
  <c r="AK118" i="12" s="1"/>
  <c r="AM118" i="12" s="1"/>
  <c r="AJ38" i="12"/>
  <c r="AK38" i="12" s="1"/>
  <c r="AM38" i="12" s="1"/>
  <c r="AJ196" i="12"/>
  <c r="AK196" i="12" s="1"/>
  <c r="AJ175" i="12"/>
  <c r="AK175" i="12" s="1"/>
  <c r="AJ299" i="12"/>
  <c r="AK299" i="12" s="1"/>
  <c r="AJ69" i="12"/>
  <c r="AK69" i="12" s="1"/>
  <c r="AJ197" i="12"/>
  <c r="AK197" i="12" s="1"/>
  <c r="AM198" i="12" s="1"/>
  <c r="AO198" i="12" s="1"/>
  <c r="AJ242" i="12"/>
  <c r="AK242" i="12" s="1"/>
  <c r="AJ115" i="12"/>
  <c r="AK115" i="12" s="1"/>
  <c r="AJ160" i="12"/>
  <c r="AK160" i="12" s="1"/>
  <c r="AM160" i="12" s="1"/>
  <c r="AJ95" i="12"/>
  <c r="AK95" i="12" s="1"/>
  <c r="AM96" i="12" s="1"/>
  <c r="AS96" i="12" s="1"/>
  <c r="Q96" i="12" s="1"/>
  <c r="AJ169" i="12"/>
  <c r="AK169" i="12" s="1"/>
  <c r="AM170" i="12" s="1"/>
  <c r="AU170" i="12" s="1"/>
  <c r="S170" i="12" s="1"/>
  <c r="AJ101" i="12"/>
  <c r="AK101" i="12" s="1"/>
  <c r="AJ241" i="12"/>
  <c r="AK241" i="12" s="1"/>
  <c r="AJ273" i="12"/>
  <c r="AK273" i="12" s="1"/>
  <c r="AT36" i="12"/>
  <c r="R36" i="12" s="1"/>
  <c r="AO36" i="12"/>
  <c r="AU36" i="12"/>
  <c r="S36" i="12" s="1"/>
  <c r="AS36" i="12"/>
  <c r="Q36" i="12" s="1"/>
  <c r="AU138" i="12"/>
  <c r="S138" i="12" s="1"/>
  <c r="AO138" i="12"/>
  <c r="AT138" i="12"/>
  <c r="R138" i="12" s="1"/>
  <c r="AS138" i="12"/>
  <c r="Q138" i="12" s="1"/>
  <c r="AN88" i="12"/>
  <c r="AN96" i="12"/>
  <c r="AN140" i="12"/>
  <c r="AM226" i="12"/>
  <c r="L135" i="19"/>
  <c r="V135" i="19" s="1"/>
  <c r="L57" i="19"/>
  <c r="L146" i="15"/>
  <c r="U146" i="15" s="1"/>
  <c r="L66" i="15"/>
  <c r="L140" i="15"/>
  <c r="AJ192" i="12"/>
  <c r="AK192" i="12" s="1"/>
  <c r="AM192" i="12" s="1"/>
  <c r="AN30" i="12"/>
  <c r="AJ111" i="12"/>
  <c r="AK111" i="12" s="1"/>
  <c r="AM112" i="12" s="1"/>
  <c r="AM298" i="12"/>
  <c r="AN128" i="12"/>
  <c r="AN256" i="12"/>
  <c r="AU148" i="12"/>
  <c r="S148" i="12" s="1"/>
  <c r="AT148" i="12"/>
  <c r="R148" i="12" s="1"/>
  <c r="AS148" i="12"/>
  <c r="Q148" i="12" s="1"/>
  <c r="AO148" i="12"/>
  <c r="AU142" i="12"/>
  <c r="S142" i="12" s="1"/>
  <c r="AT142" i="12"/>
  <c r="R142" i="12" s="1"/>
  <c r="AS142" i="12"/>
  <c r="Q142" i="12" s="1"/>
  <c r="AO142" i="12"/>
  <c r="M56" i="19"/>
  <c r="M57" i="19" s="1"/>
  <c r="L137" i="19"/>
  <c r="V137" i="19" s="1"/>
  <c r="L148" i="15"/>
  <c r="U148" i="15" s="1"/>
  <c r="M65" i="15"/>
  <c r="M66" i="15" s="1"/>
  <c r="AS172" i="12"/>
  <c r="Q172" i="12" s="1"/>
  <c r="AO172" i="12"/>
  <c r="AT172" i="12"/>
  <c r="R172" i="12" s="1"/>
  <c r="AU172" i="12"/>
  <c r="S172" i="12" s="1"/>
  <c r="M140" i="15"/>
  <c r="AM154" i="12"/>
  <c r="M129" i="19"/>
  <c r="AM218" i="12" l="1"/>
  <c r="AS218" i="12" s="1"/>
  <c r="Q218" i="12" s="1"/>
  <c r="AM48" i="12"/>
  <c r="AS48" i="12" s="1"/>
  <c r="Q48" i="12" s="1"/>
  <c r="AS106" i="12"/>
  <c r="Q106" i="12" s="1"/>
  <c r="AT106" i="12"/>
  <c r="R106" i="12" s="1"/>
  <c r="AO106" i="12"/>
  <c r="AM236" i="12"/>
  <c r="AT236" i="12" s="1"/>
  <c r="R236" i="12" s="1"/>
  <c r="AM202" i="12"/>
  <c r="AT202" i="12" s="1"/>
  <c r="R202" i="12" s="1"/>
  <c r="AS188" i="12"/>
  <c r="Q188" i="12" s="1"/>
  <c r="AU188" i="12"/>
  <c r="S188" i="12" s="1"/>
  <c r="AT188" i="12"/>
  <c r="R188" i="12" s="1"/>
  <c r="AU158" i="12"/>
  <c r="S158" i="12" s="1"/>
  <c r="AO214" i="12"/>
  <c r="AM110" i="12"/>
  <c r="AU110" i="12" s="1"/>
  <c r="S110" i="12" s="1"/>
  <c r="AS214" i="12"/>
  <c r="Q214" i="12" s="1"/>
  <c r="AU228" i="12"/>
  <c r="S228" i="12" s="1"/>
  <c r="AT94" i="12"/>
  <c r="R94" i="12" s="1"/>
  <c r="AT76" i="12"/>
  <c r="R76" i="12" s="1"/>
  <c r="AU290" i="12"/>
  <c r="S290" i="12" s="1"/>
  <c r="AM294" i="12"/>
  <c r="AO294" i="12" s="1"/>
  <c r="AU214" i="12"/>
  <c r="S214" i="12" s="1"/>
  <c r="AT120" i="12"/>
  <c r="R120" i="12" s="1"/>
  <c r="AU76" i="12"/>
  <c r="S76" i="12" s="1"/>
  <c r="AM78" i="12"/>
  <c r="AO78" i="12" s="1"/>
  <c r="AO178" i="12"/>
  <c r="AO228" i="12"/>
  <c r="AT228" i="12"/>
  <c r="R228" i="12" s="1"/>
  <c r="AU194" i="12"/>
  <c r="S194" i="12" s="1"/>
  <c r="AS166" i="12"/>
  <c r="Q166" i="12" s="1"/>
  <c r="AM52" i="12"/>
  <c r="AS52" i="12" s="1"/>
  <c r="Q52" i="12" s="1"/>
  <c r="AU60" i="12"/>
  <c r="S60" i="12" s="1"/>
  <c r="AT246" i="12"/>
  <c r="R246" i="12" s="1"/>
  <c r="AO108" i="12"/>
  <c r="AS82" i="12"/>
  <c r="Q82" i="12" s="1"/>
  <c r="AU96" i="12"/>
  <c r="S96" i="12" s="1"/>
  <c r="AM268" i="12"/>
  <c r="AO268" i="12" s="1"/>
  <c r="AS234" i="12"/>
  <c r="Q234" i="12" s="1"/>
  <c r="AO64" i="12"/>
  <c r="AT220" i="12"/>
  <c r="R220" i="12" s="1"/>
  <c r="AS114" i="12"/>
  <c r="Q114" i="12" s="1"/>
  <c r="AT194" i="12"/>
  <c r="R194" i="12" s="1"/>
  <c r="AU64" i="12"/>
  <c r="S64" i="12" s="1"/>
  <c r="AO80" i="12"/>
  <c r="AM100" i="12"/>
  <c r="AO100" i="12" s="1"/>
  <c r="AO144" i="12"/>
  <c r="AT42" i="12"/>
  <c r="R42" i="12" s="1"/>
  <c r="AO132" i="12"/>
  <c r="AS206" i="12"/>
  <c r="Q206" i="12" s="1"/>
  <c r="AU114" i="12"/>
  <c r="S114" i="12" s="1"/>
  <c r="AS26" i="12"/>
  <c r="Q26" i="12" s="1"/>
  <c r="AO90" i="12"/>
  <c r="AU208" i="12"/>
  <c r="S208" i="12" s="1"/>
  <c r="AU246" i="12"/>
  <c r="S246" i="12" s="1"/>
  <c r="AT60" i="12"/>
  <c r="R60" i="12" s="1"/>
  <c r="AO88" i="12"/>
  <c r="AU120" i="12"/>
  <c r="S120" i="12" s="1"/>
  <c r="AS178" i="12"/>
  <c r="Q178" i="12" s="1"/>
  <c r="AT108" i="12"/>
  <c r="R108" i="12" s="1"/>
  <c r="AO94" i="12"/>
  <c r="AU26" i="12"/>
  <c r="S26" i="12" s="1"/>
  <c r="AU90" i="12"/>
  <c r="S90" i="12" s="1"/>
  <c r="AS220" i="12"/>
  <c r="Q220" i="12" s="1"/>
  <c r="AU88" i="12"/>
  <c r="S88" i="12" s="1"/>
  <c r="AS122" i="12"/>
  <c r="Q122" i="12" s="1"/>
  <c r="AT144" i="12"/>
  <c r="R144" i="12" s="1"/>
  <c r="AU42" i="12"/>
  <c r="S42" i="12" s="1"/>
  <c r="AT206" i="12"/>
  <c r="R206" i="12" s="1"/>
  <c r="AS40" i="12"/>
  <c r="Q40" i="12" s="1"/>
  <c r="AM156" i="12"/>
  <c r="AO156" i="12" s="1"/>
  <c r="AT122" i="12"/>
  <c r="R122" i="12" s="1"/>
  <c r="AS246" i="12"/>
  <c r="Q246" i="12" s="1"/>
  <c r="AO60" i="12"/>
  <c r="AU144" i="12"/>
  <c r="S144" i="12" s="1"/>
  <c r="AO120" i="12"/>
  <c r="AT114" i="12"/>
  <c r="R114" i="12" s="1"/>
  <c r="AT178" i="12"/>
  <c r="R178" i="12" s="1"/>
  <c r="AS108" i="12"/>
  <c r="Q108" i="12" s="1"/>
  <c r="AS194" i="12"/>
  <c r="Q194" i="12" s="1"/>
  <c r="AU94" i="12"/>
  <c r="S94" i="12" s="1"/>
  <c r="AO26" i="12"/>
  <c r="AS64" i="12"/>
  <c r="Q64" i="12" s="1"/>
  <c r="AT90" i="12"/>
  <c r="R90" i="12" s="1"/>
  <c r="AT272" i="12"/>
  <c r="R272" i="12" s="1"/>
  <c r="AU206" i="12"/>
  <c r="S206" i="12" s="1"/>
  <c r="AU220" i="12"/>
  <c r="S220" i="12" s="1"/>
  <c r="AS88" i="12"/>
  <c r="Q88" i="12" s="1"/>
  <c r="AM300" i="12"/>
  <c r="AM276" i="12"/>
  <c r="AT276" i="12" s="1"/>
  <c r="R276" i="12" s="1"/>
  <c r="AM260" i="12"/>
  <c r="AT260" i="12" s="1"/>
  <c r="R260" i="12" s="1"/>
  <c r="AM56" i="12"/>
  <c r="AO56" i="12" s="1"/>
  <c r="AU132" i="12"/>
  <c r="S132" i="12" s="1"/>
  <c r="AO272" i="12"/>
  <c r="AU58" i="12"/>
  <c r="S58" i="12" s="1"/>
  <c r="AM176" i="12"/>
  <c r="AT176" i="12" s="1"/>
  <c r="R176" i="12" s="1"/>
  <c r="AM252" i="12"/>
  <c r="AO252" i="12" s="1"/>
  <c r="AM278" i="12"/>
  <c r="AS278" i="12" s="1"/>
  <c r="Q278" i="12" s="1"/>
  <c r="AM104" i="12"/>
  <c r="AT104" i="12" s="1"/>
  <c r="R104" i="12" s="1"/>
  <c r="AO174" i="12"/>
  <c r="AS174" i="12"/>
  <c r="Q174" i="12" s="1"/>
  <c r="AT174" i="12"/>
  <c r="R174" i="12" s="1"/>
  <c r="AU174" i="12"/>
  <c r="S174" i="12" s="1"/>
  <c r="AT234" i="12"/>
  <c r="R234" i="12" s="1"/>
  <c r="AM264" i="12"/>
  <c r="AO264" i="12" s="1"/>
  <c r="AO308" i="12"/>
  <c r="AT230" i="12"/>
  <c r="R230" i="12" s="1"/>
  <c r="AO158" i="12"/>
  <c r="AT198" i="12"/>
  <c r="R198" i="12" s="1"/>
  <c r="AO76" i="12"/>
  <c r="AT288" i="12"/>
  <c r="R288" i="12" s="1"/>
  <c r="AU166" i="12"/>
  <c r="S166" i="12" s="1"/>
  <c r="AU302" i="12"/>
  <c r="S302" i="12" s="1"/>
  <c r="AU308" i="12"/>
  <c r="S308" i="12" s="1"/>
  <c r="AS46" i="12"/>
  <c r="Q46" i="12" s="1"/>
  <c r="AS146" i="12"/>
  <c r="Q146" i="12" s="1"/>
  <c r="AM102" i="12"/>
  <c r="AO166" i="12"/>
  <c r="AT286" i="12"/>
  <c r="R286" i="12" s="1"/>
  <c r="AO184" i="12"/>
  <c r="AU198" i="12"/>
  <c r="S198" i="12" s="1"/>
  <c r="AT46" i="12"/>
  <c r="R46" i="12" s="1"/>
  <c r="AS80" i="12"/>
  <c r="Q80" i="12" s="1"/>
  <c r="AO146" i="12"/>
  <c r="AM262" i="12"/>
  <c r="AM22" i="12"/>
  <c r="AU22" i="12" s="1"/>
  <c r="S22" i="12" s="1"/>
  <c r="AU34" i="12"/>
  <c r="S34" i="12" s="1"/>
  <c r="AS286" i="12"/>
  <c r="Q286" i="12" s="1"/>
  <c r="AT96" i="12"/>
  <c r="R96" i="12" s="1"/>
  <c r="AS198" i="12"/>
  <c r="Q198" i="12" s="1"/>
  <c r="AU46" i="12"/>
  <c r="S46" i="12" s="1"/>
  <c r="AU80" i="12"/>
  <c r="S80" i="12" s="1"/>
  <c r="AU146" i="12"/>
  <c r="S146" i="12" s="1"/>
  <c r="AT58" i="12"/>
  <c r="R58" i="12" s="1"/>
  <c r="AM44" i="12"/>
  <c r="AS44" i="12" s="1"/>
  <c r="Q44" i="12" s="1"/>
  <c r="AM256" i="12"/>
  <c r="AO256" i="12" s="1"/>
  <c r="AM134" i="12"/>
  <c r="AU134" i="12" s="1"/>
  <c r="S134" i="12" s="1"/>
  <c r="AM224" i="12"/>
  <c r="AM70" i="12"/>
  <c r="AT70" i="12" s="1"/>
  <c r="R70" i="12" s="1"/>
  <c r="AM306" i="12"/>
  <c r="AS306" i="12" s="1"/>
  <c r="Q306" i="12" s="1"/>
  <c r="AM24" i="12"/>
  <c r="AO24" i="12" s="1"/>
  <c r="AS200" i="12"/>
  <c r="Q200" i="12" s="1"/>
  <c r="AU200" i="12"/>
  <c r="S200" i="12" s="1"/>
  <c r="AT200" i="12"/>
  <c r="R200" i="12" s="1"/>
  <c r="AO200" i="12"/>
  <c r="AT218" i="12"/>
  <c r="R218" i="12" s="1"/>
  <c r="AU122" i="12"/>
  <c r="S122" i="12" s="1"/>
  <c r="AS308" i="12"/>
  <c r="Q308" i="12" s="1"/>
  <c r="AO234" i="12"/>
  <c r="AU230" i="12"/>
  <c r="S230" i="12" s="1"/>
  <c r="AS42" i="12"/>
  <c r="Q42" i="12" s="1"/>
  <c r="AS132" i="12"/>
  <c r="Q132" i="12" s="1"/>
  <c r="AT158" i="12"/>
  <c r="R158" i="12" s="1"/>
  <c r="AS272" i="12"/>
  <c r="Q272" i="12" s="1"/>
  <c r="AU40" i="12"/>
  <c r="S40" i="12" s="1"/>
  <c r="AO58" i="12"/>
  <c r="AM274" i="12"/>
  <c r="AM210" i="12"/>
  <c r="AO210" i="12" s="1"/>
  <c r="AM30" i="12"/>
  <c r="AO30" i="12" s="1"/>
  <c r="AM242" i="12"/>
  <c r="AO242" i="12" s="1"/>
  <c r="AU222" i="12"/>
  <c r="S222" i="12" s="1"/>
  <c r="AS238" i="12"/>
  <c r="Q238" i="12" s="1"/>
  <c r="AT170" i="12"/>
  <c r="R170" i="12" s="1"/>
  <c r="AT244" i="12"/>
  <c r="R244" i="12" s="1"/>
  <c r="AO40" i="12"/>
  <c r="AS74" i="12"/>
  <c r="Q74" i="12" s="1"/>
  <c r="AT74" i="12"/>
  <c r="R74" i="12" s="1"/>
  <c r="AU74" i="12"/>
  <c r="S74" i="12" s="1"/>
  <c r="AO74" i="12"/>
  <c r="AU130" i="12"/>
  <c r="S130" i="12" s="1"/>
  <c r="AS130" i="12"/>
  <c r="Q130" i="12" s="1"/>
  <c r="AO162" i="12"/>
  <c r="AT162" i="12"/>
  <c r="R162" i="12" s="1"/>
  <c r="AU162" i="12"/>
  <c r="S162" i="12" s="1"/>
  <c r="AS162" i="12"/>
  <c r="Q162" i="12" s="1"/>
  <c r="AS222" i="12"/>
  <c r="Q222" i="12" s="1"/>
  <c r="AO302" i="12"/>
  <c r="AO238" i="12"/>
  <c r="AT66" i="12"/>
  <c r="R66" i="12" s="1"/>
  <c r="AS34" i="12"/>
  <c r="Q34" i="12" s="1"/>
  <c r="AU184" i="12"/>
  <c r="S184" i="12" s="1"/>
  <c r="AO304" i="12"/>
  <c r="AM180" i="12"/>
  <c r="AS180" i="12" s="1"/>
  <c r="Q180" i="12" s="1"/>
  <c r="AT222" i="12"/>
  <c r="R222" i="12" s="1"/>
  <c r="AS302" i="12"/>
  <c r="Q302" i="12" s="1"/>
  <c r="AU238" i="12"/>
  <c r="S238" i="12" s="1"/>
  <c r="AT34" i="12"/>
  <c r="R34" i="12" s="1"/>
  <c r="AT184" i="12"/>
  <c r="R184" i="12" s="1"/>
  <c r="AT190" i="12"/>
  <c r="R190" i="12" s="1"/>
  <c r="AT68" i="12"/>
  <c r="R68" i="12" s="1"/>
  <c r="AM196" i="12"/>
  <c r="AT196" i="12" s="1"/>
  <c r="R196" i="12" s="1"/>
  <c r="AM164" i="12"/>
  <c r="AO164" i="12" s="1"/>
  <c r="AS128" i="12"/>
  <c r="Q128" i="12" s="1"/>
  <c r="AS62" i="12"/>
  <c r="Q62" i="12" s="1"/>
  <c r="AM116" i="12"/>
  <c r="AS116" i="12" s="1"/>
  <c r="Q116" i="12" s="1"/>
  <c r="AM284" i="12"/>
  <c r="AM266" i="12"/>
  <c r="AT266" i="12" s="1"/>
  <c r="R266" i="12" s="1"/>
  <c r="AM54" i="12"/>
  <c r="AO54" i="12" s="1"/>
  <c r="AM292" i="12"/>
  <c r="AO292" i="12" s="1"/>
  <c r="L138" i="19"/>
  <c r="V138" i="19" s="1"/>
  <c r="AS240" i="12"/>
  <c r="Q240" i="12" s="1"/>
  <c r="AU240" i="12"/>
  <c r="S240" i="12" s="1"/>
  <c r="AT240" i="12"/>
  <c r="R240" i="12" s="1"/>
  <c r="AO240" i="12"/>
  <c r="AO130" i="12"/>
  <c r="AS66" i="12"/>
  <c r="Q66" i="12" s="1"/>
  <c r="AO288" i="12"/>
  <c r="AS170" i="12"/>
  <c r="Q170" i="12" s="1"/>
  <c r="AU62" i="12"/>
  <c r="S62" i="12" s="1"/>
  <c r="AU68" i="12"/>
  <c r="S68" i="12" s="1"/>
  <c r="AT208" i="12"/>
  <c r="R208" i="12" s="1"/>
  <c r="AO290" i="12"/>
  <c r="AM280" i="12"/>
  <c r="AT280" i="12" s="1"/>
  <c r="R280" i="12" s="1"/>
  <c r="AT130" i="12"/>
  <c r="R130" i="12" s="1"/>
  <c r="AU82" i="12"/>
  <c r="S82" i="12" s="1"/>
  <c r="AU288" i="12"/>
  <c r="S288" i="12" s="1"/>
  <c r="AO170" i="12"/>
  <c r="AT128" i="12"/>
  <c r="R128" i="12" s="1"/>
  <c r="AO62" i="12"/>
  <c r="AS68" i="12"/>
  <c r="Q68" i="12" s="1"/>
  <c r="AO208" i="12"/>
  <c r="AS290" i="12"/>
  <c r="Q290" i="12" s="1"/>
  <c r="AM50" i="12"/>
  <c r="AM296" i="12"/>
  <c r="AU66" i="12"/>
  <c r="S66" i="12" s="1"/>
  <c r="AT82" i="12"/>
  <c r="R82" i="12" s="1"/>
  <c r="AM282" i="12"/>
  <c r="AS282" i="12" s="1"/>
  <c r="Q282" i="12" s="1"/>
  <c r="AM86" i="12"/>
  <c r="AO86" i="12" s="1"/>
  <c r="AU182" i="12"/>
  <c r="S182" i="12" s="1"/>
  <c r="AO182" i="12"/>
  <c r="AT182" i="12"/>
  <c r="R182" i="12" s="1"/>
  <c r="AS182" i="12"/>
  <c r="Q182" i="12" s="1"/>
  <c r="AO248" i="12"/>
  <c r="AT248" i="12"/>
  <c r="R248" i="12" s="1"/>
  <c r="AU248" i="12"/>
  <c r="S248" i="12" s="1"/>
  <c r="AS248" i="12"/>
  <c r="Q248" i="12" s="1"/>
  <c r="AT304" i="12"/>
  <c r="R304" i="12" s="1"/>
  <c r="AS230" i="12"/>
  <c r="Q230" i="12" s="1"/>
  <c r="AS98" i="12"/>
  <c r="Q98" i="12" s="1"/>
  <c r="AU190" i="12"/>
  <c r="S190" i="12" s="1"/>
  <c r="AT98" i="12"/>
  <c r="R98" i="12" s="1"/>
  <c r="AU304" i="12"/>
  <c r="S304" i="12" s="1"/>
  <c r="AS244" i="12"/>
  <c r="Q244" i="12" s="1"/>
  <c r="AU98" i="12"/>
  <c r="S98" i="12" s="1"/>
  <c r="AO190" i="12"/>
  <c r="AU216" i="12"/>
  <c r="S216" i="12" s="1"/>
  <c r="AM92" i="12"/>
  <c r="AM32" i="12"/>
  <c r="AO216" i="12"/>
  <c r="AM140" i="12"/>
  <c r="AO140" i="12" s="1"/>
  <c r="AO128" i="12"/>
  <c r="AS304" i="12"/>
  <c r="Q304" i="12" s="1"/>
  <c r="AU244" i="12"/>
  <c r="S244" i="12" s="1"/>
  <c r="AO286" i="12"/>
  <c r="AS216" i="12"/>
  <c r="Q216" i="12" s="1"/>
  <c r="AO96" i="12"/>
  <c r="AT160" i="12"/>
  <c r="R160" i="12" s="1"/>
  <c r="AU160" i="12"/>
  <c r="S160" i="12" s="1"/>
  <c r="AO160" i="12"/>
  <c r="AS160" i="12"/>
  <c r="Q160" i="12" s="1"/>
  <c r="AU84" i="12"/>
  <c r="S84" i="12" s="1"/>
  <c r="AS84" i="12"/>
  <c r="Q84" i="12" s="1"/>
  <c r="AO84" i="12"/>
  <c r="AT84" i="12"/>
  <c r="R84" i="12" s="1"/>
  <c r="AO254" i="12"/>
  <c r="AU254" i="12"/>
  <c r="S254" i="12" s="1"/>
  <c r="AS254" i="12"/>
  <c r="Q254" i="12" s="1"/>
  <c r="AT254" i="12"/>
  <c r="R254" i="12" s="1"/>
  <c r="AS204" i="12"/>
  <c r="Q204" i="12" s="1"/>
  <c r="AU204" i="12"/>
  <c r="S204" i="12" s="1"/>
  <c r="AT204" i="12"/>
  <c r="R204" i="12" s="1"/>
  <c r="AO204" i="12"/>
  <c r="AO258" i="12"/>
  <c r="AT258" i="12"/>
  <c r="R258" i="12" s="1"/>
  <c r="AS258" i="12"/>
  <c r="Q258" i="12" s="1"/>
  <c r="AU258" i="12"/>
  <c r="S258" i="12" s="1"/>
  <c r="AS270" i="12"/>
  <c r="Q270" i="12" s="1"/>
  <c r="AO270" i="12"/>
  <c r="AU270" i="12"/>
  <c r="S270" i="12" s="1"/>
  <c r="AT270" i="12"/>
  <c r="R270" i="12" s="1"/>
  <c r="AT126" i="12"/>
  <c r="R126" i="12" s="1"/>
  <c r="AS126" i="12"/>
  <c r="Q126" i="12" s="1"/>
  <c r="AU126" i="12"/>
  <c r="S126" i="12" s="1"/>
  <c r="AO126" i="12"/>
  <c r="AU124" i="12"/>
  <c r="S124" i="12" s="1"/>
  <c r="AT124" i="12"/>
  <c r="R124" i="12" s="1"/>
  <c r="AO124" i="12"/>
  <c r="AS124" i="12"/>
  <c r="Q124" i="12" s="1"/>
  <c r="AT152" i="12"/>
  <c r="R152" i="12" s="1"/>
  <c r="AU152" i="12"/>
  <c r="S152" i="12" s="1"/>
  <c r="AO152" i="12"/>
  <c r="AS152" i="12"/>
  <c r="Q152" i="12" s="1"/>
  <c r="AU192" i="12"/>
  <c r="S192" i="12" s="1"/>
  <c r="AT192" i="12"/>
  <c r="R192" i="12" s="1"/>
  <c r="AS192" i="12"/>
  <c r="Q192" i="12" s="1"/>
  <c r="AO192" i="12"/>
  <c r="AO118" i="12"/>
  <c r="AU118" i="12"/>
  <c r="S118" i="12" s="1"/>
  <c r="AS118" i="12"/>
  <c r="Q118" i="12" s="1"/>
  <c r="AT118" i="12"/>
  <c r="R118" i="12" s="1"/>
  <c r="AU226" i="12"/>
  <c r="S226" i="12" s="1"/>
  <c r="AS226" i="12"/>
  <c r="Q226" i="12" s="1"/>
  <c r="AT226" i="12"/>
  <c r="R226" i="12" s="1"/>
  <c r="AO226" i="12"/>
  <c r="AS28" i="12"/>
  <c r="Q28" i="12" s="1"/>
  <c r="AO28" i="12"/>
  <c r="AU28" i="12"/>
  <c r="S28" i="12" s="1"/>
  <c r="AT28" i="12"/>
  <c r="R28" i="12" s="1"/>
  <c r="AT136" i="12"/>
  <c r="R136" i="12" s="1"/>
  <c r="AS136" i="12"/>
  <c r="Q136" i="12" s="1"/>
  <c r="AO136" i="12"/>
  <c r="AU136" i="12"/>
  <c r="S136" i="12" s="1"/>
  <c r="AS168" i="12"/>
  <c r="Q168" i="12" s="1"/>
  <c r="AO168" i="12"/>
  <c r="AU168" i="12"/>
  <c r="S168" i="12" s="1"/>
  <c r="AT168" i="12"/>
  <c r="R168" i="12" s="1"/>
  <c r="AT250" i="12"/>
  <c r="R250" i="12" s="1"/>
  <c r="AO250" i="12"/>
  <c r="AU250" i="12"/>
  <c r="S250" i="12" s="1"/>
  <c r="AS250" i="12"/>
  <c r="Q250" i="12" s="1"/>
  <c r="AO186" i="12"/>
  <c r="AU186" i="12"/>
  <c r="S186" i="12" s="1"/>
  <c r="AS186" i="12"/>
  <c r="Q186" i="12" s="1"/>
  <c r="AT186" i="12"/>
  <c r="R186" i="12" s="1"/>
  <c r="AO232" i="12"/>
  <c r="AU232" i="12"/>
  <c r="S232" i="12" s="1"/>
  <c r="AT232" i="12"/>
  <c r="R232" i="12" s="1"/>
  <c r="AS232" i="12"/>
  <c r="Q232" i="12" s="1"/>
  <c r="AU72" i="12"/>
  <c r="S72" i="12" s="1"/>
  <c r="AS72" i="12"/>
  <c r="Q72" i="12" s="1"/>
  <c r="AO72" i="12"/>
  <c r="AT72" i="12"/>
  <c r="R72" i="12" s="1"/>
  <c r="AU298" i="12"/>
  <c r="S298" i="12" s="1"/>
  <c r="AO298" i="12"/>
  <c r="AT298" i="12"/>
  <c r="R298" i="12" s="1"/>
  <c r="AS298" i="12"/>
  <c r="Q298" i="12" s="1"/>
  <c r="AS150" i="12"/>
  <c r="Q150" i="12" s="1"/>
  <c r="AT150" i="12"/>
  <c r="R150" i="12" s="1"/>
  <c r="AO150" i="12"/>
  <c r="AU150" i="12"/>
  <c r="S150" i="12" s="1"/>
  <c r="AU154" i="12"/>
  <c r="S154" i="12" s="1"/>
  <c r="AT154" i="12"/>
  <c r="R154" i="12" s="1"/>
  <c r="AS154" i="12"/>
  <c r="Q154" i="12" s="1"/>
  <c r="AO154" i="12"/>
  <c r="AO212" i="12"/>
  <c r="AU212" i="12"/>
  <c r="S212" i="12" s="1"/>
  <c r="AS212" i="12"/>
  <c r="Q212" i="12" s="1"/>
  <c r="AT212" i="12"/>
  <c r="R212" i="12" s="1"/>
  <c r="AS112" i="12"/>
  <c r="Q112" i="12" s="1"/>
  <c r="AT112" i="12"/>
  <c r="R112" i="12" s="1"/>
  <c r="AU112" i="12"/>
  <c r="S112" i="12" s="1"/>
  <c r="AO112" i="12"/>
  <c r="AT38" i="12"/>
  <c r="R38" i="12" s="1"/>
  <c r="AS38" i="12"/>
  <c r="Q38" i="12" s="1"/>
  <c r="AU38" i="12"/>
  <c r="S38" i="12" s="1"/>
  <c r="AO38" i="12"/>
  <c r="L149" i="15"/>
  <c r="U149" i="15" s="1"/>
  <c r="AU48" i="12" l="1"/>
  <c r="S48" i="12" s="1"/>
  <c r="AU218" i="12"/>
  <c r="S218" i="12" s="1"/>
  <c r="AO218" i="12"/>
  <c r="AU236" i="12"/>
  <c r="S236" i="12" s="1"/>
  <c r="AS110" i="12"/>
  <c r="Q110" i="12" s="1"/>
  <c r="AO48" i="12"/>
  <c r="AT48" i="12"/>
  <c r="R48" i="12" s="1"/>
  <c r="AS236" i="12"/>
  <c r="Q236" i="12" s="1"/>
  <c r="AO236" i="12"/>
  <c r="AU202" i="12"/>
  <c r="S202" i="12" s="1"/>
  <c r="AO202" i="12"/>
  <c r="AS202" i="12"/>
  <c r="Q202" i="12" s="1"/>
  <c r="AU78" i="12"/>
  <c r="S78" i="12" s="1"/>
  <c r="AO110" i="12"/>
  <c r="AT110" i="12"/>
  <c r="R110" i="12" s="1"/>
  <c r="AU52" i="12"/>
  <c r="S52" i="12" s="1"/>
  <c r="AT78" i="12"/>
  <c r="R78" i="12" s="1"/>
  <c r="AS78" i="12"/>
  <c r="Q78" i="12" s="1"/>
  <c r="AT294" i="12"/>
  <c r="R294" i="12" s="1"/>
  <c r="AS294" i="12"/>
  <c r="Q294" i="12" s="1"/>
  <c r="AU294" i="12"/>
  <c r="S294" i="12" s="1"/>
  <c r="AS104" i="12"/>
  <c r="Q104" i="12" s="1"/>
  <c r="AS22" i="12"/>
  <c r="Q22" i="12" s="1"/>
  <c r="AU260" i="12"/>
  <c r="S260" i="12" s="1"/>
  <c r="AT52" i="12"/>
  <c r="R52" i="12" s="1"/>
  <c r="AO278" i="12"/>
  <c r="AO52" i="12"/>
  <c r="AU56" i="12"/>
  <c r="S56" i="12" s="1"/>
  <c r="AU104" i="12"/>
  <c r="S104" i="12" s="1"/>
  <c r="AU268" i="12"/>
  <c r="S268" i="12" s="1"/>
  <c r="AS268" i="12"/>
  <c r="Q268" i="12" s="1"/>
  <c r="AT56" i="12"/>
  <c r="R56" i="12" s="1"/>
  <c r="AT256" i="12"/>
  <c r="R256" i="12" s="1"/>
  <c r="AT268" i="12"/>
  <c r="R268" i="12" s="1"/>
  <c r="AU100" i="12"/>
  <c r="S100" i="12" s="1"/>
  <c r="AS56" i="12"/>
  <c r="Q56" i="12" s="1"/>
  <c r="AO306" i="12"/>
  <c r="AS260" i="12"/>
  <c r="Q260" i="12" s="1"/>
  <c r="AT278" i="12"/>
  <c r="R278" i="12" s="1"/>
  <c r="AT210" i="12"/>
  <c r="R210" i="12" s="1"/>
  <c r="AO260" i="12"/>
  <c r="AU278" i="12"/>
  <c r="S278" i="12" s="1"/>
  <c r="AS134" i="12"/>
  <c r="Q134" i="12" s="1"/>
  <c r="AU256" i="12"/>
  <c r="S256" i="12" s="1"/>
  <c r="AU306" i="12"/>
  <c r="S306" i="12" s="1"/>
  <c r="AS210" i="12"/>
  <c r="Q210" i="12" s="1"/>
  <c r="AS100" i="12"/>
  <c r="Q100" i="12" s="1"/>
  <c r="AS256" i="12"/>
  <c r="Q256" i="12" s="1"/>
  <c r="AU196" i="12"/>
  <c r="S196" i="12" s="1"/>
  <c r="AU44" i="12"/>
  <c r="S44" i="12" s="1"/>
  <c r="AU116" i="12"/>
  <c r="S116" i="12" s="1"/>
  <c r="AT264" i="12"/>
  <c r="R264" i="12" s="1"/>
  <c r="AU252" i="12"/>
  <c r="S252" i="12" s="1"/>
  <c r="AT100" i="12"/>
  <c r="R100" i="12" s="1"/>
  <c r="AS292" i="12"/>
  <c r="Q292" i="12" s="1"/>
  <c r="AS280" i="12"/>
  <c r="Q280" i="12" s="1"/>
  <c r="AO70" i="12"/>
  <c r="AS70" i="12"/>
  <c r="Q70" i="12" s="1"/>
  <c r="AS176" i="12"/>
  <c r="Q176" i="12" s="1"/>
  <c r="AO104" i="12"/>
  <c r="AT134" i="12"/>
  <c r="R134" i="12" s="1"/>
  <c r="AU280" i="12"/>
  <c r="S280" i="12" s="1"/>
  <c r="AU176" i="12"/>
  <c r="S176" i="12" s="1"/>
  <c r="AS86" i="12"/>
  <c r="Q86" i="12" s="1"/>
  <c r="AT252" i="12"/>
  <c r="R252" i="12" s="1"/>
  <c r="AT54" i="12"/>
  <c r="R54" i="12" s="1"/>
  <c r="AT300" i="12"/>
  <c r="R300" i="12" s="1"/>
  <c r="AS300" i="12"/>
  <c r="Q300" i="12" s="1"/>
  <c r="AU300" i="12"/>
  <c r="S300" i="12" s="1"/>
  <c r="AO300" i="12"/>
  <c r="AS252" i="12"/>
  <c r="Q252" i="12" s="1"/>
  <c r="AS242" i="12"/>
  <c r="Q242" i="12" s="1"/>
  <c r="AU156" i="12"/>
  <c r="S156" i="12" s="1"/>
  <c r="AU276" i="12"/>
  <c r="S276" i="12" s="1"/>
  <c r="AO276" i="12"/>
  <c r="AT242" i="12"/>
  <c r="R242" i="12" s="1"/>
  <c r="AO176" i="12"/>
  <c r="AT156" i="12"/>
  <c r="R156" i="12" s="1"/>
  <c r="AS264" i="12"/>
  <c r="Q264" i="12" s="1"/>
  <c r="AS156" i="12"/>
  <c r="Q156" i="12" s="1"/>
  <c r="AU70" i="12"/>
  <c r="S70" i="12" s="1"/>
  <c r="AS24" i="12"/>
  <c r="Q24" i="12" s="1"/>
  <c r="AS276" i="12"/>
  <c r="Q276" i="12" s="1"/>
  <c r="AU264" i="12"/>
  <c r="S264" i="12" s="1"/>
  <c r="AT180" i="12"/>
  <c r="R180" i="12" s="1"/>
  <c r="AU242" i="12"/>
  <c r="S242" i="12" s="1"/>
  <c r="AO22" i="12"/>
  <c r="AT22" i="12"/>
  <c r="R22" i="12" s="1"/>
  <c r="AU24" i="12"/>
  <c r="S24" i="12" s="1"/>
  <c r="AO102" i="12"/>
  <c r="AT102" i="12"/>
  <c r="R102" i="12" s="1"/>
  <c r="AS102" i="12"/>
  <c r="Q102" i="12" s="1"/>
  <c r="AU102" i="12"/>
  <c r="S102" i="12" s="1"/>
  <c r="AO266" i="12"/>
  <c r="AT24" i="12"/>
  <c r="R24" i="12" s="1"/>
  <c r="AO134" i="12"/>
  <c r="AO280" i="12"/>
  <c r="AT306" i="12"/>
  <c r="R306" i="12" s="1"/>
  <c r="AO180" i="12"/>
  <c r="AU54" i="12"/>
  <c r="S54" i="12" s="1"/>
  <c r="AS196" i="12"/>
  <c r="Q196" i="12" s="1"/>
  <c r="AO196" i="12"/>
  <c r="AT292" i="12"/>
  <c r="R292" i="12" s="1"/>
  <c r="AO44" i="12"/>
  <c r="AS266" i="12"/>
  <c r="Q266" i="12" s="1"/>
  <c r="AU266" i="12"/>
  <c r="S266" i="12" s="1"/>
  <c r="AU292" i="12"/>
  <c r="S292" i="12" s="1"/>
  <c r="AT44" i="12"/>
  <c r="R44" i="12" s="1"/>
  <c r="AO282" i="12"/>
  <c r="AU210" i="12"/>
  <c r="S210" i="12" s="1"/>
  <c r="AT224" i="12"/>
  <c r="R224" i="12" s="1"/>
  <c r="AS224" i="12"/>
  <c r="Q224" i="12" s="1"/>
  <c r="AO224" i="12"/>
  <c r="AU224" i="12"/>
  <c r="S224" i="12" s="1"/>
  <c r="AU262" i="12"/>
  <c r="S262" i="12" s="1"/>
  <c r="AO262" i="12"/>
  <c r="AS262" i="12"/>
  <c r="Q262" i="12" s="1"/>
  <c r="AT262" i="12"/>
  <c r="R262" i="12" s="1"/>
  <c r="AS274" i="12"/>
  <c r="Q274" i="12" s="1"/>
  <c r="AU274" i="12"/>
  <c r="S274" i="12" s="1"/>
  <c r="AO274" i="12"/>
  <c r="AT274" i="12"/>
  <c r="R274" i="12" s="1"/>
  <c r="AU180" i="12"/>
  <c r="S180" i="12" s="1"/>
  <c r="AS54" i="12"/>
  <c r="Q54" i="12" s="1"/>
  <c r="AT30" i="12"/>
  <c r="R30" i="12" s="1"/>
  <c r="AU30" i="12"/>
  <c r="S30" i="12" s="1"/>
  <c r="AS30" i="12"/>
  <c r="Q30" i="12" s="1"/>
  <c r="AS164" i="12"/>
  <c r="Q164" i="12" s="1"/>
  <c r="AT164" i="12"/>
  <c r="R164" i="12" s="1"/>
  <c r="AU164" i="12"/>
  <c r="S164" i="12" s="1"/>
  <c r="AT284" i="12"/>
  <c r="R284" i="12" s="1"/>
  <c r="AU284" i="12"/>
  <c r="S284" i="12" s="1"/>
  <c r="AO284" i="12"/>
  <c r="AS284" i="12"/>
  <c r="Q284" i="12" s="1"/>
  <c r="AT116" i="12"/>
  <c r="R116" i="12" s="1"/>
  <c r="AO116" i="12"/>
  <c r="AU86" i="12"/>
  <c r="S86" i="12" s="1"/>
  <c r="AT296" i="12"/>
  <c r="R296" i="12" s="1"/>
  <c r="AS296" i="12"/>
  <c r="Q296" i="12" s="1"/>
  <c r="AO296" i="12"/>
  <c r="AU296" i="12"/>
  <c r="S296" i="12" s="1"/>
  <c r="AT86" i="12"/>
  <c r="R86" i="12" s="1"/>
  <c r="AU282" i="12"/>
  <c r="S282" i="12" s="1"/>
  <c r="AT282" i="12"/>
  <c r="R282" i="12" s="1"/>
  <c r="AT50" i="12"/>
  <c r="R50" i="12" s="1"/>
  <c r="AU50" i="12"/>
  <c r="S50" i="12" s="1"/>
  <c r="AS50" i="12"/>
  <c r="Q50" i="12" s="1"/>
  <c r="AO50" i="12"/>
  <c r="AO92" i="12"/>
  <c r="AT92" i="12"/>
  <c r="R92" i="12" s="1"/>
  <c r="AS92" i="12"/>
  <c r="Q92" i="12" s="1"/>
  <c r="AU92" i="12"/>
  <c r="S92" i="12" s="1"/>
  <c r="AS32" i="12"/>
  <c r="Q32" i="12" s="1"/>
  <c r="AT32" i="12"/>
  <c r="AO32" i="12"/>
  <c r="AU32" i="12"/>
  <c r="AU140" i="12"/>
  <c r="S140" i="12" s="1"/>
  <c r="AS140" i="12"/>
  <c r="Q140" i="12" s="1"/>
  <c r="AT140" i="12"/>
  <c r="R140" i="12" s="1"/>
  <c r="Q10" i="12" l="1"/>
  <c r="Q11" i="12" s="1"/>
  <c r="S32" i="12"/>
  <c r="S10" i="12"/>
  <c r="S11" i="12" s="1"/>
  <c r="R32" i="12"/>
  <c r="R10" i="12"/>
  <c r="R11" i="12" s="1"/>
</calcChain>
</file>

<file path=xl/sharedStrings.xml><?xml version="1.0" encoding="utf-8"?>
<sst xmlns="http://schemas.openxmlformats.org/spreadsheetml/2006/main" count="3036" uniqueCount="778">
  <si>
    <t>Dato</t>
  </si>
  <si>
    <t>Trin:</t>
  </si>
  <si>
    <t>Trin</t>
  </si>
  <si>
    <t>Nettoløn</t>
  </si>
  <si>
    <t>Grundløn</t>
  </si>
  <si>
    <t>Tillæg</t>
  </si>
  <si>
    <t>Udligningstillæg</t>
  </si>
  <si>
    <t xml:space="preserve"> </t>
  </si>
  <si>
    <t>Underskrift:</t>
  </si>
  <si>
    <t>Dato:</t>
  </si>
  <si>
    <t>Ishøj Kommune</t>
  </si>
  <si>
    <t>Navn:</t>
  </si>
  <si>
    <t>Overenskomst/aftale</t>
  </si>
  <si>
    <t>Faste tillæg/fradrag</t>
  </si>
  <si>
    <t>Det skal indgå i overvejelserne, at det ikke er hensigten at yde dobbeltbetaling for samme funktioner/kvalifikationer.</t>
  </si>
  <si>
    <t>For organisationen:</t>
  </si>
  <si>
    <t>For medarbejderen:</t>
  </si>
  <si>
    <t>For kommunen:</t>
  </si>
  <si>
    <t>Fra og til</t>
  </si>
  <si>
    <t>Løntrin</t>
  </si>
  <si>
    <t>Tillæg pr. år</t>
  </si>
  <si>
    <t>Løn</t>
  </si>
  <si>
    <t>Pension</t>
  </si>
  <si>
    <t>pr. måned</t>
  </si>
  <si>
    <t>Fra løntrin</t>
  </si>
  <si>
    <t>Til løntrin</t>
  </si>
  <si>
    <t>Forskel løntrin</t>
  </si>
  <si>
    <t>Tillæg fra</t>
  </si>
  <si>
    <t>Tillæg til</t>
  </si>
  <si>
    <t>Forskel tillæg</t>
  </si>
  <si>
    <t>Udgiftsberegning</t>
  </si>
  <si>
    <t>Månedslønnede</t>
  </si>
  <si>
    <t>Timelønnede</t>
  </si>
  <si>
    <t xml:space="preserve"> =</t>
  </si>
  <si>
    <t>Evt. modregning</t>
  </si>
  <si>
    <t>(Husk fortegn)</t>
  </si>
  <si>
    <t>Evt. andre udgifter</t>
  </si>
  <si>
    <t>I alt pr. måned</t>
  </si>
  <si>
    <t>Helårsvirkning</t>
  </si>
  <si>
    <t>Beløb inkl. 3 dele pension årlig</t>
  </si>
  <si>
    <t>Overenskomst for kommunallæger</t>
  </si>
  <si>
    <t>Overenskomst vedr. journalister</t>
  </si>
  <si>
    <t>Overenskomst for håndværkere m.fl.</t>
  </si>
  <si>
    <t>Overenskomst vedr. diverse formænd</t>
  </si>
  <si>
    <t>Overenskomst for ikke fagl. lønarbejdere</t>
  </si>
  <si>
    <t>Overenskomst for kantine-&amp; reng.ledere</t>
  </si>
  <si>
    <t>Overenskomst vedr. tandlæger</t>
  </si>
  <si>
    <t>Aftale vedr. tandlæger</t>
  </si>
  <si>
    <t>Reglementsaftale vedr. daginst.personale</t>
  </si>
  <si>
    <t>Overenskomst for socialpædagoger mv.</t>
  </si>
  <si>
    <t>Aftale for socialpædagoger mv.</t>
  </si>
  <si>
    <t>Overenskomst vedr. dagplejeledere m.fl.</t>
  </si>
  <si>
    <t>Overenskomst vedr. pædagog. konsulenter</t>
  </si>
  <si>
    <t>Overenskomst vedr. dagplejere</t>
  </si>
  <si>
    <t>Fælles overenskomst for ledere</t>
  </si>
  <si>
    <t>Overensk.vedr.social- og sundhedshj. m.f</t>
  </si>
  <si>
    <t>Beskæftigelsesgrad</t>
  </si>
  <si>
    <t>Løn før</t>
  </si>
  <si>
    <t>Løn nu</t>
  </si>
  <si>
    <t xml:space="preserve">                Puljebelastning</t>
  </si>
  <si>
    <t>1/1-31/12</t>
  </si>
  <si>
    <t>Til rådighed resten af året</t>
  </si>
  <si>
    <t>Antal</t>
  </si>
  <si>
    <t>Engangs-</t>
  </si>
  <si>
    <t>Virkning</t>
  </si>
  <si>
    <t>Fratrådt</t>
  </si>
  <si>
    <t>Navn</t>
  </si>
  <si>
    <t>timer</t>
  </si>
  <si>
    <t>fuldtids-</t>
  </si>
  <si>
    <t>løn</t>
  </si>
  <si>
    <t>kr. pr.</t>
  </si>
  <si>
    <t>tillæg</t>
  </si>
  <si>
    <t>Tiltrådt</t>
  </si>
  <si>
    <t>pr. uge</t>
  </si>
  <si>
    <t>norm-</t>
  </si>
  <si>
    <t>kr.</t>
  </si>
  <si>
    <t>måneder</t>
  </si>
  <si>
    <t>Årlig</t>
  </si>
  <si>
    <t>Ny løn</t>
  </si>
  <si>
    <t>pulje</t>
  </si>
  <si>
    <t>belastning</t>
  </si>
  <si>
    <t>Begrundelse for ydelse af funktionsløn og kvalifikationsløn:</t>
  </si>
  <si>
    <t>Tekst:</t>
  </si>
  <si>
    <t>Funktionsløn obligatorisk:</t>
  </si>
  <si>
    <t>Funktionsløn individuelt:</t>
  </si>
  <si>
    <t>Kvalifikationsløn obligatorisk:</t>
  </si>
  <si>
    <t>Kvalifikationsløn individuelt:</t>
  </si>
  <si>
    <t>Ialt</t>
  </si>
  <si>
    <t>Cpr. nr.</t>
  </si>
  <si>
    <t>Stilling</t>
  </si>
  <si>
    <t>Antal timer pr. uge</t>
  </si>
  <si>
    <t>Antal fuldtidsnormtimer</t>
  </si>
  <si>
    <t>Lønkontonummer</t>
  </si>
  <si>
    <t>Fratrædelsesdato</t>
  </si>
  <si>
    <t>Fratrådtes navn</t>
  </si>
  <si>
    <t>Tiltrædelsesdato</t>
  </si>
  <si>
    <t>Antal timer pr. uge/år</t>
  </si>
  <si>
    <t>Antal fuldtidsnormtimer pr. uge/år</t>
  </si>
  <si>
    <t>Antal timer pr. uge/år:</t>
  </si>
  <si>
    <t>Antal fuldtidsnormtimer pr. uge/år:</t>
  </si>
  <si>
    <t>AC1-8</t>
  </si>
  <si>
    <t>Standard</t>
  </si>
  <si>
    <t>Lønkode</t>
  </si>
  <si>
    <t>Startkolonne</t>
  </si>
  <si>
    <r>
      <t xml:space="preserve">Indtast oplysninger i de </t>
    </r>
    <r>
      <rPr>
        <b/>
        <sz val="10"/>
        <color indexed="9"/>
        <rFont val="Times New Roman"/>
        <family val="1"/>
      </rPr>
      <t>hvide</t>
    </r>
    <r>
      <rPr>
        <b/>
        <sz val="10"/>
        <rFont val="Times New Roman"/>
        <family val="1"/>
      </rPr>
      <t xml:space="preserve"> felter</t>
    </r>
  </si>
  <si>
    <t>Lønkode:</t>
  </si>
  <si>
    <t>TabelÆndringskode</t>
  </si>
  <si>
    <t>Løn-</t>
  </si>
  <si>
    <t>kode</t>
  </si>
  <si>
    <t xml:space="preserve"> 1=Fratrådt</t>
  </si>
  <si>
    <t xml:space="preserve"> 2=Tiltrådt</t>
  </si>
  <si>
    <t>0=Standard</t>
  </si>
  <si>
    <t>1=AC1-8</t>
  </si>
  <si>
    <t>2=AC1-17</t>
  </si>
  <si>
    <t xml:space="preserve"> Ændrings-</t>
  </si>
  <si>
    <t xml:space="preserve"> kode</t>
  </si>
  <si>
    <t>/år</t>
  </si>
  <si>
    <t>Pen-</t>
  </si>
  <si>
    <t>sions-</t>
  </si>
  <si>
    <t>pct.</t>
  </si>
  <si>
    <t>MaxPenskode</t>
  </si>
  <si>
    <t>Over-</t>
  </si>
  <si>
    <t>gang</t>
  </si>
  <si>
    <t>trin</t>
  </si>
  <si>
    <t>Puljebelastning</t>
  </si>
  <si>
    <t>Måned</t>
  </si>
  <si>
    <t>Fast Tillæg</t>
  </si>
  <si>
    <t>Startkolonner:</t>
  </si>
  <si>
    <t>Ændringskode</t>
  </si>
  <si>
    <t>PensionJN</t>
  </si>
  <si>
    <t>Tekst</t>
  </si>
  <si>
    <t>Overgang</t>
  </si>
  <si>
    <t>I alt</t>
  </si>
  <si>
    <t>År</t>
  </si>
  <si>
    <t>Heraf</t>
  </si>
  <si>
    <t>overgang</t>
  </si>
  <si>
    <t>Fra/Til</t>
  </si>
  <si>
    <t>JNovergang</t>
  </si>
  <si>
    <t>OvergangJN</t>
  </si>
  <si>
    <t>Netto</t>
  </si>
  <si>
    <t>ekskl.</t>
  </si>
  <si>
    <t>engangstill</t>
  </si>
  <si>
    <t>JNferiepenge</t>
  </si>
  <si>
    <t>Feriepenge</t>
  </si>
  <si>
    <t>procent</t>
  </si>
  <si>
    <t>Funktionsløn</t>
  </si>
  <si>
    <t>Kvalifikationsløn</t>
  </si>
  <si>
    <t xml:space="preserve"> 3=Løn før</t>
  </si>
  <si>
    <t xml:space="preserve"> 4=Løn nu</t>
  </si>
  <si>
    <t>Lønninger og pensioner pr.</t>
  </si>
  <si>
    <t>Netto-</t>
  </si>
  <si>
    <t>Driftskonto</t>
  </si>
  <si>
    <t>Adresse</t>
  </si>
  <si>
    <t>Postnr.     By</t>
  </si>
  <si>
    <r>
      <t>Lønreduktion som følge af eventuelt kommende lønstigninger</t>
    </r>
    <r>
      <rPr>
        <sz val="10"/>
        <rFont val="Times New Roman"/>
        <family val="1"/>
      </rPr>
      <t>. Funktionslønnen og kvalifikationslønnen reduceres som følge</t>
    </r>
  </si>
  <si>
    <t>af eventuelle fremtidige lønstigninger der dækker samme kvalifikationer, som aftalt centralt eller decentralt i en forhåndsaftale.</t>
  </si>
  <si>
    <t>NyLøn</t>
  </si>
  <si>
    <t>TabelLøntabel til Udgiftsberegning og NyLøn</t>
  </si>
  <si>
    <t>Udskriv</t>
  </si>
  <si>
    <t>linie</t>
  </si>
  <si>
    <t>4a</t>
  </si>
  <si>
    <t>4b</t>
  </si>
  <si>
    <t>Årligt</t>
  </si>
  <si>
    <t>kr. beløb</t>
  </si>
  <si>
    <t>årligt</t>
  </si>
  <si>
    <t>kr.beløb</t>
  </si>
  <si>
    <t>OrlovJN</t>
  </si>
  <si>
    <t>Forbrugt ved Ny Løn</t>
  </si>
  <si>
    <t>Overgangstillæg/trin</t>
  </si>
  <si>
    <t>MaxProcentForvPulje</t>
  </si>
  <si>
    <t>Procent</t>
  </si>
  <si>
    <t>Ændringsdato:</t>
  </si>
  <si>
    <t>Udgiftsberegning:</t>
  </si>
  <si>
    <t>Rammebeløb til Ny Løn i alt</t>
  </si>
  <si>
    <t>Lønkontonr.</t>
  </si>
  <si>
    <t>Orlov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</si>
  <si>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</si>
  <si>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</si>
  <si>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</si>
  <si>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</si>
  <si>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</si>
  <si>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</si>
  <si>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</si>
  <si>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</si>
  <si>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</si>
  <si>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</si>
  <si>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</si>
  <si>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</si>
  <si>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</si>
  <si>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</si>
  <si>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</si>
  <si>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</si>
  <si>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</si>
  <si>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K</t>
  </si>
  <si>
    <t>M</t>
  </si>
  <si>
    <t>På orlov</t>
  </si>
  <si>
    <t xml:space="preserve"> 5=På orlov</t>
  </si>
  <si>
    <t>HK</t>
  </si>
  <si>
    <t>AC</t>
  </si>
  <si>
    <t>Bibliotekarforbundet</t>
  </si>
  <si>
    <t>Foreningen af spec. læger</t>
  </si>
  <si>
    <t>TL</t>
  </si>
  <si>
    <t>Dansk Journalistforbund</t>
  </si>
  <si>
    <t>Dansk Metal/Dansk El Forbund</t>
  </si>
  <si>
    <t>Dansk Formandsforening</t>
  </si>
  <si>
    <t>FOA</t>
  </si>
  <si>
    <t>Halinspektørforeningen</t>
  </si>
  <si>
    <t>DLF</t>
  </si>
  <si>
    <t>LVU</t>
  </si>
  <si>
    <t>BUPL</t>
  </si>
  <si>
    <t>SL</t>
  </si>
  <si>
    <t>LSF</t>
  </si>
  <si>
    <t>år</t>
  </si>
  <si>
    <t>Bemærkninger</t>
  </si>
  <si>
    <t>niveau *</t>
  </si>
  <si>
    <t>Tilbageføringen sker sådan:</t>
  </si>
  <si>
    <t>Afrundet til hele kr.</t>
  </si>
  <si>
    <t>Eksempel</t>
  </si>
  <si>
    <t>Din beregning</t>
  </si>
  <si>
    <t>Opgørelse af tillæg (husk at vælge pensionsordning i række 17):</t>
  </si>
  <si>
    <t>Historiske procentreguleringer:</t>
  </si>
  <si>
    <t>LSF (FOA)</t>
  </si>
  <si>
    <t>Pens.giv.</t>
  </si>
  <si>
    <t>løndele</t>
  </si>
  <si>
    <t>Socialrådgiverforeningen</t>
  </si>
  <si>
    <t>Lærere m.fl. i folkeskolen</t>
  </si>
  <si>
    <t>Aftale om tjenestemandsansatte lærere</t>
  </si>
  <si>
    <t>Grafisk beskæftiget personale</t>
  </si>
  <si>
    <t>HK/industri</t>
  </si>
  <si>
    <t>Ledere/mellemledere i kommunal ældreomsorg</t>
  </si>
  <si>
    <t>FOA/Lederforum</t>
  </si>
  <si>
    <t>Rådighedsbeløb overført fra tidligere år indtastes her</t>
  </si>
  <si>
    <t>Forbrug til ny medarbejder:</t>
  </si>
  <si>
    <t>Driftssted</t>
  </si>
  <si>
    <t>Månedsløn</t>
  </si>
  <si>
    <t>Årsløn</t>
  </si>
  <si>
    <t>Tillæg i alt</t>
  </si>
  <si>
    <t>I alt til besættelse af ny stilling:</t>
  </si>
  <si>
    <t>Løn og tillæg inkl. 3/3 pension</t>
  </si>
  <si>
    <t>3/3 pension af løn og tillæg</t>
  </si>
  <si>
    <t>Forskel mellem fratrådt/tiltrådt:</t>
  </si>
  <si>
    <t>17. Underskrift</t>
  </si>
  <si>
    <t>Udfyldt af:</t>
  </si>
  <si>
    <t>Afgang</t>
  </si>
  <si>
    <t>Tilgang</t>
  </si>
  <si>
    <t>Pens.kode</t>
  </si>
  <si>
    <t>I alt løn og tillæg inkl. 3/3 pension</t>
  </si>
  <si>
    <t>Driftssted:</t>
  </si>
  <si>
    <t>Driftsstedets lønpuljekontonr.:</t>
  </si>
  <si>
    <t>I alt løn og tillæg</t>
  </si>
  <si>
    <t>Tillæg ikke pensionsgivende</t>
  </si>
  <si>
    <t>Centralt aftalte trin pensionsgivende</t>
  </si>
  <si>
    <t>Centralt aftalte tillæg pensionsgivende</t>
  </si>
  <si>
    <t>Individuelt aftalte trin pensionsgivende</t>
  </si>
  <si>
    <t>Individuelt aftalte tillæg pensionsgivende</t>
  </si>
  <si>
    <t>Tillæg pensionsgivende</t>
  </si>
  <si>
    <t>Overgangstillæg ikke pensionsgivende</t>
  </si>
  <si>
    <t>TabelRammeforbrug</t>
  </si>
  <si>
    <t>Ramme-</t>
  </si>
  <si>
    <t>forbrug</t>
  </si>
  <si>
    <t>DSR/Økonomaf./Ergoterap.</t>
  </si>
  <si>
    <t>Timeløn</t>
  </si>
  <si>
    <t>Afgang/Tilgang/Timeløn</t>
  </si>
  <si>
    <t>Tilgang / Afgang for timelønnede</t>
  </si>
  <si>
    <t>18. Underskrift</t>
  </si>
  <si>
    <t>TabelPensgivLøn</t>
  </si>
  <si>
    <t>%</t>
  </si>
  <si>
    <t>Pensionsprocent:</t>
  </si>
  <si>
    <t>Startkolonner for månedsløn</t>
  </si>
  <si>
    <t>Puljebelastning antal måneder</t>
  </si>
  <si>
    <t>Pensionsprocent</t>
  </si>
  <si>
    <t>TabelPctReg</t>
  </si>
  <si>
    <t>Procentregulering</t>
  </si>
  <si>
    <t>Procentregul:</t>
  </si>
  <si>
    <t>Lønkode 3</t>
  </si>
  <si>
    <t>SundAlm</t>
  </si>
  <si>
    <t>Lønkode 4</t>
  </si>
  <si>
    <t>SundLeder</t>
  </si>
  <si>
    <t>Sundhedskartel:</t>
  </si>
  <si>
    <t>Niveau</t>
  </si>
  <si>
    <t>Procent-</t>
  </si>
  <si>
    <t>regulering</t>
  </si>
  <si>
    <t>Niveaudato:</t>
  </si>
  <si>
    <t>3=SundAlm</t>
  </si>
  <si>
    <t>4=SundLeder</t>
  </si>
  <si>
    <t>Basisår</t>
  </si>
  <si>
    <t>Tilført/forbrugt ved afgang/tilgang</t>
  </si>
  <si>
    <t>Overenskomst for tekniske designere m.fl</t>
  </si>
  <si>
    <t>5=Kostfaglig</t>
  </si>
  <si>
    <t>KTO</t>
  </si>
  <si>
    <t>Sundhed</t>
  </si>
  <si>
    <t>Divider med procentreguleringen</t>
  </si>
  <si>
    <t>Tillæg.</t>
  </si>
  <si>
    <t>Alle tillæg skal være årlige i grundsatsniveau.</t>
  </si>
  <si>
    <t>Grundsatsniveau for Sundhedskartellet er 1/1-2006.</t>
  </si>
  <si>
    <t>Årligt tillæg i grundsatsniveau</t>
  </si>
  <si>
    <t>For alle øvrige er grundsatsniveauet 31/3-2000.</t>
  </si>
  <si>
    <t>18. Originalen fremsendes til Personale og Udvikling:</t>
  </si>
  <si>
    <t>3F/FOA/SL</t>
  </si>
  <si>
    <t xml:space="preserve">0=Standard  1=AC(1-8)  2=AC(1-17) </t>
  </si>
  <si>
    <t>3=SundA  4=SundLeder  5= Kostfaglig</t>
  </si>
  <si>
    <t>Beredskabspersonale ved de kommunale redningsselskaber</t>
  </si>
  <si>
    <t>Overenskomst for pædagogisk uddannet personale, der ansættes inden for det forebyggende og dagbehandlende område</t>
  </si>
  <si>
    <t>Handicapledsagere</t>
  </si>
  <si>
    <t>Grundløn 42+3.900 / 46+12.700 / 47+7.700</t>
  </si>
  <si>
    <t>BUPL-Ledere</t>
  </si>
  <si>
    <t>BUPL-Souschefer</t>
  </si>
  <si>
    <t>Forhandlingskartellets Fællesoverenskomst</t>
  </si>
  <si>
    <t>Overenskomst for socialrådgivere og socialformidlere</t>
  </si>
  <si>
    <t xml:space="preserve">Rengøringsassistent </t>
  </si>
  <si>
    <t>Kantineledere</t>
  </si>
  <si>
    <t>Ledere</t>
  </si>
  <si>
    <t>Grundløn 36+3.000</t>
  </si>
  <si>
    <t>Dagplejere</t>
  </si>
  <si>
    <t>Grundløn 30+4.000</t>
  </si>
  <si>
    <t>LSF-Ledere over trin 37</t>
  </si>
  <si>
    <t>Social- og sundhedshjælper</t>
  </si>
  <si>
    <t>Aflønnes i Ishøj Kommune som Susu uden uddannelse</t>
  </si>
  <si>
    <t>FOA/Dansk Metal</t>
  </si>
  <si>
    <t>Overenskomst for ledende værkstedspersonale m.v. ved klientværksteder</t>
  </si>
  <si>
    <t>19. Originalen fremsendes til Personale og Udvikling</t>
  </si>
  <si>
    <t>Feriegodtg. (1,95%)</t>
  </si>
  <si>
    <t>Heraf 1,95% feriegodtgørelse:</t>
  </si>
  <si>
    <t xml:space="preserve">0=Standard. 1=AC skala1-8. 2=AC skala 1-17 </t>
  </si>
  <si>
    <t>3=Sund Alm. 4=Sund Leder. 5= Kostfaglig</t>
  </si>
  <si>
    <t>Rammebeløb til Ny Løn indeværende år indtastes her</t>
  </si>
  <si>
    <t>Omsorgs- og pædagogmedhjælpere uden PAU</t>
  </si>
  <si>
    <t>Omsorgs- og pædagogmedhjælpere med/uden PAU</t>
  </si>
  <si>
    <t>Overenskomst for ledere m.fl. indenfor undervisningsområdet</t>
  </si>
  <si>
    <t>Fritvalgstillæg kan ændres til +1,05% pension (13,65%)</t>
  </si>
  <si>
    <t>Ernæringshjælpere</t>
  </si>
  <si>
    <t>L5/L6</t>
  </si>
  <si>
    <t>Fritvalgstillæg kan ændres til +0,34%% pension (13,62%)</t>
  </si>
  <si>
    <t>Trin 33+5.000</t>
  </si>
  <si>
    <t>Ingen Fritvalgsordning</t>
  </si>
  <si>
    <t>TNL</t>
  </si>
  <si>
    <t>Socialpædagoger</t>
  </si>
  <si>
    <t>Trin 30</t>
  </si>
  <si>
    <t>Trin 27+1.025</t>
  </si>
  <si>
    <t>Trin 15+750</t>
  </si>
  <si>
    <t>Uændret</t>
  </si>
  <si>
    <t>plus 0,2%</t>
  </si>
  <si>
    <t>plus 0,27%</t>
  </si>
  <si>
    <t>plus 0,37%</t>
  </si>
  <si>
    <t>Forskellige</t>
  </si>
  <si>
    <t>plus 0,32%</t>
  </si>
  <si>
    <t>ingen</t>
  </si>
  <si>
    <t>Trin 31 -&gt; Trin 31+.2.000</t>
  </si>
  <si>
    <t>Trin 31+2.000</t>
  </si>
  <si>
    <t>AC skala</t>
  </si>
  <si>
    <t>1,1% pens kan veksles til løn (Fritvalgtillæg), så pens kun bliver 16,4%</t>
  </si>
  <si>
    <t>Håndværkere</t>
  </si>
  <si>
    <t>Trin 26+1750</t>
  </si>
  <si>
    <t>Grundlønstillæg 1500 (31.03.2000) stiger til 1.750 (31.03.2000)</t>
  </si>
  <si>
    <t>plus 0,25%</t>
  </si>
  <si>
    <t>0,46% pens kan veksles til løn (Fritvalgtillæg), så pens kun bliver 15,79%</t>
  </si>
  <si>
    <t>01.01.2012</t>
  </si>
  <si>
    <t>plus 0,3%</t>
  </si>
  <si>
    <t>plus 0,35%</t>
  </si>
  <si>
    <t>Reglementsansat pædagog</t>
  </si>
  <si>
    <t>Tjenestemandsansat socialpædagog</t>
  </si>
  <si>
    <t>plus 0,05%</t>
  </si>
  <si>
    <t>pension</t>
  </si>
  <si>
    <t>Forskellige-Se Overenskomst</t>
  </si>
  <si>
    <t>Kun for tekn design med særl fagl ansv eller ledelse</t>
  </si>
  <si>
    <t>0,36% pens kan veksles til løn (Fritvalgtillæg), så pens kun bliver 15,79%</t>
  </si>
  <si>
    <t>Mindre stigninger</t>
  </si>
  <si>
    <t>plus 0,9%</t>
  </si>
  <si>
    <t>Trin 28+2950</t>
  </si>
  <si>
    <t>Grundløntillæg steget fra 2.000 til 2.950</t>
  </si>
  <si>
    <t>Trin 47+6000</t>
  </si>
  <si>
    <t>0,58% pens kan veksles til løn (Fritvalgtillæg), så pens kun bliver 15,79%</t>
  </si>
  <si>
    <t>Trin 14</t>
  </si>
  <si>
    <t>Hidtidige rekruteringstillæg på 3600 bortfaldet - Veklset til 1 trin. Lukket gruppe med +1.000 kr indført</t>
  </si>
  <si>
    <t>Forhåndsaftale</t>
  </si>
  <si>
    <t>1,3% pens kan veksles til løn (Fritvalgtillæg), så pens kun bliver 15,00%</t>
  </si>
  <si>
    <t>3,52%% pens kan veksles til løn (Fritvalgtillæg), så pens kun bliver 15,00%</t>
  </si>
  <si>
    <t>Trin 18</t>
  </si>
  <si>
    <t>1,1% pens kan veksles til løn (Fritvalgtillæg), så pens kun bliver 12,9%</t>
  </si>
  <si>
    <t>2,6%% pens kan veksles til løn (Fritvalgtillæg), så pens kun bliver 15,10%</t>
  </si>
  <si>
    <t>01.04.2013</t>
  </si>
  <si>
    <t>01.10.2012</t>
  </si>
  <si>
    <t>0=Standard. 1=AC skala</t>
  </si>
  <si>
    <t>3=Sund Alm. 4=Sund Leder</t>
  </si>
  <si>
    <t>Direktionscenter - HR</t>
  </si>
  <si>
    <t>Lønaftale for nyansat medarbejder</t>
  </si>
  <si>
    <t>Fratrådt medarbejder / Råderum</t>
  </si>
  <si>
    <t>Reguleringsprocent</t>
  </si>
  <si>
    <t/>
  </si>
  <si>
    <t xml:space="preserve">  %</t>
  </si>
  <si>
    <t>Grundløns tillæg</t>
  </si>
  <si>
    <t>Grundløns trin</t>
  </si>
  <si>
    <t>Ikke-pensionsgivende funktionstillæg</t>
  </si>
  <si>
    <t>Funktionstrin (lokalt aftalt)</t>
  </si>
  <si>
    <t>Funktionstillæg (pens), (lokalt aftalt)</t>
  </si>
  <si>
    <t>Centralt aftalte funktionstrin</t>
  </si>
  <si>
    <t>Centralt aftalte funktionstillæg (pens)</t>
  </si>
  <si>
    <t>Centralt aftalte kvalifikationstrin</t>
  </si>
  <si>
    <t>Centralt aftalte kval.tillæg (pens)</t>
  </si>
  <si>
    <t>niveau</t>
  </si>
  <si>
    <t>Procentregulering:</t>
  </si>
  <si>
    <t>Kvalifikationstrin (lokalt aftalt)</t>
  </si>
  <si>
    <t>Kvalifikationstillæg (pens) (lokalt aftalt)</t>
  </si>
  <si>
    <t>Konverteret ulempetillæg (ikke-pens)</t>
  </si>
  <si>
    <t>Overgangstillæg (pensionsgivende)</t>
  </si>
  <si>
    <t>Overgangstillæg (ikke-pens)ionsgivende</t>
  </si>
  <si>
    <t>Udligningstillæg (pensionsgivende)</t>
  </si>
  <si>
    <t>Samlet løn og pension</t>
  </si>
  <si>
    <t>Overenskomstnr:</t>
  </si>
  <si>
    <t>Fremtidigt antal timer pr. uge</t>
  </si>
  <si>
    <t>Fuldtidstimetal:</t>
  </si>
  <si>
    <r>
      <t xml:space="preserve">Samlet løn </t>
    </r>
    <r>
      <rPr>
        <sz val="10"/>
        <rFont val="Arial Narrow"/>
        <family val="2"/>
      </rPr>
      <t>(uden pension)</t>
    </r>
  </si>
  <si>
    <t>+</t>
  </si>
  <si>
    <t>01.10.2013</t>
  </si>
  <si>
    <t>Grundlønnen aftales individuelt, kan dog højest udgøre trin 50</t>
  </si>
  <si>
    <t>Overenskomst for akademikere.</t>
  </si>
  <si>
    <t>Aftale/overenskomst for chefer</t>
  </si>
  <si>
    <t>Grundlønnen aftales individuelt</t>
  </si>
  <si>
    <t>Akademikere indplaceres på AC-skalen på baggrund af antal års akademisk beskæftigelse efter uddannelsens afslutning</t>
  </si>
  <si>
    <t>Overenskomstansatte og tjenestemandsansatte chefer</t>
  </si>
  <si>
    <t>Kommunale chefer (KC)</t>
  </si>
  <si>
    <t>Funktionstillæg</t>
  </si>
  <si>
    <t>Ændring af timetal</t>
  </si>
  <si>
    <t>Ændring af medarbejders løn / timetal</t>
  </si>
  <si>
    <t>Beskrivelse af fremtidige løntillæg</t>
  </si>
  <si>
    <t>Beskrivelse af nuværende løntillæg</t>
  </si>
  <si>
    <t xml:space="preserve">Lønnen ændres med </t>
  </si>
  <si>
    <t xml:space="preserve">Pensionen ændres med </t>
  </si>
  <si>
    <t>Samlede merudgifter</t>
  </si>
  <si>
    <t>kr. pr. måned</t>
  </si>
  <si>
    <t>kr. pr. år</t>
  </si>
  <si>
    <t>Konsekvenser af ændringen</t>
  </si>
  <si>
    <t>Nyansættelse af medarbejder</t>
  </si>
  <si>
    <t>Ansættes pr.</t>
  </si>
  <si>
    <t>Fastansættelse</t>
  </si>
  <si>
    <t>Begivenhedsansættelse</t>
  </si>
  <si>
    <t xml:space="preserve">Lønnen øges med </t>
  </si>
  <si>
    <t xml:space="preserve">Pensionen øges med </t>
  </si>
  <si>
    <t>Nuværende antal timer pr. uge</t>
  </si>
  <si>
    <t>Vejledning</t>
  </si>
  <si>
    <t>Overenskomstens navn:</t>
  </si>
  <si>
    <t>Dækningsområde:</t>
  </si>
  <si>
    <t>Forhandlingsberettiget organisation</t>
  </si>
  <si>
    <t>Tidsbegrænset ansat indtil dato:</t>
  </si>
  <si>
    <t>(Angiv årsag i bemærkningsfelt)</t>
  </si>
  <si>
    <t>Beregning af økonomisk råderum</t>
  </si>
  <si>
    <t>Den tidligere medarbejders navn</t>
  </si>
  <si>
    <t>pensionsret i bemærkningsfeltet.</t>
  </si>
  <si>
    <t>Skriv evt. bemærkninger om</t>
  </si>
  <si>
    <t>Bemærkninger vedr. optjening af pensionsret, erfaringsdatoer, begivenhedsansættelser og andet</t>
  </si>
  <si>
    <t>Funktionstillæg bortfalder, hvis funktionen ophører.</t>
  </si>
  <si>
    <t>Grundlønnen er fastsat i Ishøj Kommunes Forhåndsaftale</t>
  </si>
  <si>
    <t>Ingen fritvalgsordning</t>
  </si>
  <si>
    <t>Overenskomst for ledere i ungdomsskolen</t>
  </si>
  <si>
    <t>Ungdomsskoleleder</t>
  </si>
  <si>
    <t>Aftale for tjenestmandsansatte ledere i ungdomsskolen</t>
  </si>
  <si>
    <t>Landsforeningen af ungdomsskoleledere, Frederiksborggade 5, 2, 1360 Kbh K</t>
  </si>
  <si>
    <t>Ingen overenskomstbestemte tillæg</t>
  </si>
  <si>
    <t>Pædagogmedhjælpere og pædagogiske assistenter (PAU'ere)</t>
  </si>
  <si>
    <t>Kvalifikationstillæg</t>
  </si>
  <si>
    <t>Pædagopgmedhjælpere med 3 års erfaring ydes 3 løntrin. Efter 11 år ydes yderligere 3 løntrin</t>
  </si>
  <si>
    <t>PAU'ere med 3 års erfaring ydes 3 løntrin. Efter 6 år ydes yderligere 3 løntrin. Erfaring som medhjælper medtælles.</t>
  </si>
  <si>
    <t>.</t>
  </si>
  <si>
    <t>Der ydes et ikke-pensionsgivende tillæg på 12.900 (gradueret efter timetal på funktionen) til støttemedhjælpere,</t>
  </si>
  <si>
    <t>Pædagogmedhjælpere har grundløn 13 + 1.552, pædagogiske assistenter (PAU'ere) har grundløn trin 19 + 1.392</t>
  </si>
  <si>
    <t>Karens</t>
  </si>
  <si>
    <t>Fyldt 21 år. 10 måneders ansættelse med mindst 8 timer ugentligt indenfor de sidste 8 år i kommuner og regioner</t>
  </si>
  <si>
    <t>Særlig feriegodtgørelse</t>
  </si>
  <si>
    <t>Fritvalgsordning</t>
  </si>
  <si>
    <t>Kun fritvalgsordning for 55+ årige</t>
  </si>
  <si>
    <t>Overenskomst for pædagogmedhjælpere og pædagogiske assistenter (PAU'ere)</t>
  </si>
  <si>
    <t>12,94 procent</t>
  </si>
  <si>
    <t>1,95 procent</t>
  </si>
  <si>
    <t>til medhjælpere i afdelinger som kun har handicappede børn, til børnehavekl.medhjælpere og til prg. 20,2 skoler</t>
  </si>
  <si>
    <t>2,45 procent</t>
  </si>
  <si>
    <t>2,35 procent</t>
  </si>
  <si>
    <t>2,15 procent</t>
  </si>
  <si>
    <t>Medarbejder kan selv vælge at meddele Økonomi-Løn at han/hun ønsker at få indbetalt mere til pension med modregning i lønnen.</t>
  </si>
  <si>
    <t>Centralt aftalt tillæg (pens)</t>
  </si>
  <si>
    <t>Funktionstillæg (pens), (lokalt)</t>
  </si>
  <si>
    <t>Konverteret ulempe (ikke-pens)</t>
  </si>
  <si>
    <t>Ikke-pens. funktionstillæg</t>
  </si>
  <si>
    <t>Kval.tillæg (pens) (lokalt aftalt)</t>
  </si>
  <si>
    <t>Overgangstillæg (pens)</t>
  </si>
  <si>
    <t>Overgangstillæg (ikke-pens)</t>
  </si>
  <si>
    <t>Udligningstillæg (pens)</t>
  </si>
  <si>
    <t>Pædagoger ansat i vuggestuer, børnehaver, SFO'ere og på skoler</t>
  </si>
  <si>
    <t>Ernæringshjælpere med mere end 7 års erfaring indplaceres på trin 1.</t>
  </si>
  <si>
    <t>Hjælpere med mindre end 7 års erfa, indplaceres på 97% af trin 1. (gang arbejdstid med 0,97 i lønskema)</t>
  </si>
  <si>
    <t>Ernæringsassistenter</t>
  </si>
  <si>
    <t>Kosteneansvarlige</t>
  </si>
  <si>
    <t>Kosteneansvarlige indplaceres på trin 3+3100 uanset erfaring</t>
  </si>
  <si>
    <t>Proff.bach ernæring</t>
  </si>
  <si>
    <t>Proff.bach i ernæring og sundhed med mindre end 4 års erfa, trin 4+3100, mere end 4 år, trin 5.</t>
  </si>
  <si>
    <t>Ergo og Fys</t>
  </si>
  <si>
    <t>Sygeplejersker</t>
  </si>
  <si>
    <t>Ergoterapeuter og fysioterapeuter med mindre end 4 års erfa, trin 4+3100, mere end 4 år, trin 7.</t>
  </si>
  <si>
    <t>Sygeplejersker med mindre end 4 års erfa, trin 4+3100, mere end 4 år, trin 7</t>
  </si>
  <si>
    <t>Sundhedsplejersker</t>
  </si>
  <si>
    <t>Sund.pl med mindre end 4 års erfa, trin 5+3100+6600, mere end 4 år, trin 8+6600.</t>
  </si>
  <si>
    <t>Selvtilrettelæggende sundhedsplejersker, grundløn trin 8+6600</t>
  </si>
  <si>
    <t>Overenskomst for specialarbejdere, faglærte gartnere m.fl.</t>
  </si>
  <si>
    <t>Grundløn specialarbejdere</t>
  </si>
  <si>
    <t>Specialarbejdere og gartnere</t>
  </si>
  <si>
    <t>Grundløn faglærte gartnere</t>
  </si>
  <si>
    <t>Grundlønnen for specialarbejdere er trin 20 + 1.900 (FKKA området)</t>
  </si>
  <si>
    <t>Grundlønnen for faglærte gartnere er trin 27 + 1.900 (FKKA området)</t>
  </si>
  <si>
    <t>Overenskomsten oplister en række funktioner for hvilke der lokalt skal aftales et tillæg</t>
  </si>
  <si>
    <t>Specialarbejdere har en garantiløn på trin 22 +1.900 efter 4 år som specialarbejdere i Ishøj Kommune</t>
  </si>
  <si>
    <t>Garantiløn</t>
  </si>
  <si>
    <t>Overenskomsten oplister en række kvalifikationer for hvilke der lokalt skal aftales et tillæg</t>
  </si>
  <si>
    <t>Aftales individuelt</t>
  </si>
  <si>
    <t>Karensregler</t>
  </si>
  <si>
    <t>Fritvalg mht pension</t>
  </si>
  <si>
    <t>Hvis man intet vælger</t>
  </si>
  <si>
    <t>Individuel pension</t>
  </si>
  <si>
    <t>Pension til medarbejdere som er fyldt 21 år, som har mindst 9 måneders sammenlagt forudgående beskæftigelse i kommuner / regioner, (mindst 8 timer ugl) indenfor de seneste 8 år (Reglerne er ændret pr. 1. januar 2014)</t>
  </si>
  <si>
    <t>14,55 procent</t>
  </si>
  <si>
    <t>3F</t>
  </si>
  <si>
    <t>FOA eller 3F</t>
  </si>
  <si>
    <t>Overenskomst for teknisk service</t>
  </si>
  <si>
    <t>Teknisk servicemedarbejdere, tekniske serviceledere, teknisk servicechef m.fl.</t>
  </si>
  <si>
    <t>Grundløn - teknisk servicemedarbejder</t>
  </si>
  <si>
    <t>Grundløn - teknisk serviceleder</t>
  </si>
  <si>
    <t>Grundløn 14 + 1.800</t>
  </si>
  <si>
    <t>Grundløn - teknisk servicechef</t>
  </si>
  <si>
    <t>Grundløn 17 + 500, 22 + 500 eller 27 + 500</t>
  </si>
  <si>
    <t>Grundløn 27 + 500 eller 32 + 500</t>
  </si>
  <si>
    <t>Grundløn - udd. Ejendomsservicetekniker</t>
  </si>
  <si>
    <t>Grundløn 22 + 500 eller 24 + 500</t>
  </si>
  <si>
    <t>Teknisk servicemedarbejdere ydes +2 trin efter 6 års sammenlagt beskæftigelse indenfor faget</t>
  </si>
  <si>
    <t>13,5 procent</t>
  </si>
  <si>
    <t>Pension til medarbejdere som er fyldt 21 år, som har mindst 10 måneders sammenlagt forudgående beskæftigelse i kommuner / regioner, (mindst 8 timer ugl) indenfor de seneste 8 år (Reglerne er ændret pr. 1. januar 2014)</t>
  </si>
  <si>
    <t>Overenskomst for assistenter, mestre og driftsledere</t>
  </si>
  <si>
    <t>Grundløn 32</t>
  </si>
  <si>
    <t>Pension fra ansættelsen</t>
  </si>
  <si>
    <t>Medarbejder kan vælge at få udbetalt den pension som overstiger 15,79 procent</t>
  </si>
  <si>
    <t>18,35 procent</t>
  </si>
  <si>
    <t>Foretages intet valg, er pensionsprocenten 18,35%</t>
  </si>
  <si>
    <t>Dansk Metal eller Dansk El Forbund</t>
  </si>
  <si>
    <t>Socialrådgivere og socialformidlere</t>
  </si>
  <si>
    <t>Grundløn socialrådgivere</t>
  </si>
  <si>
    <t>Grundløn socialformidlere</t>
  </si>
  <si>
    <t>Grundløn 32 + 2.000, 34, 37, 41 + 3.900 eller 46 + 12.700</t>
  </si>
  <si>
    <t>Grundløn - ledere)</t>
  </si>
  <si>
    <t>Grundløn 42 + 3.900 eller 47 + 7.700</t>
  </si>
  <si>
    <t xml:space="preserve">"Familiebehandlingstillæg" ved døgninstitioner på 16.400; "Hjemme-hos" tillæg på 16.400 </t>
  </si>
  <si>
    <t>Praktikvejledertillæg</t>
  </si>
  <si>
    <t>Praktikvejledere (på grundløn 31-37) ydes et tillæg (se forhåndsaftale)</t>
  </si>
  <si>
    <t>Pensionsprocent socialrådgivere</t>
  </si>
  <si>
    <t>14,37 procent (Grundløn 31 + 2.000, 34 og 37)</t>
  </si>
  <si>
    <t>14,5 procent (grundløn 41 + 3.900)</t>
  </si>
  <si>
    <t>17,7 procent (grundløn 42 + 3.900 og højere)</t>
  </si>
  <si>
    <t>Pensionsprocent socialformidlere</t>
  </si>
  <si>
    <t>15,65 procent (grundløn 32 + 2.000, 34, 37 og 41 + 3.900)</t>
  </si>
  <si>
    <t>Pension ved ansættelsen (ændring pr. 1. januar 2014)</t>
  </si>
  <si>
    <t>Dansk  Socialrådgiverforening eller HK Kommunal</t>
  </si>
  <si>
    <t>Grundløn 31 + 2.000, 34, 37, 41 + 3.900 eller 46 x 12.700</t>
  </si>
  <si>
    <t>Tjenstemandsansatte bibliotikarer</t>
  </si>
  <si>
    <t>Grundløn basisstillinger</t>
  </si>
  <si>
    <t>Grundløn specialister</t>
  </si>
  <si>
    <t>Grundløn 37 eller 42 + 3.100</t>
  </si>
  <si>
    <t>Grundløn Mellemledere</t>
  </si>
  <si>
    <t>Grundløn 37, 42 + 3.100 eller 46 + 3.100</t>
  </si>
  <si>
    <t>Grundløn ledere</t>
  </si>
  <si>
    <t>Grundløn 46 + 3.100 elller 50 + 3.100</t>
  </si>
  <si>
    <t>Der skal indgås forhåndsaftale, hvis basisbibliotikarer varetageraften, lørdags, bogbus eller søndagstjeneste</t>
  </si>
  <si>
    <t>Ingen overenskomstbestemte kvalifikationstillæg</t>
  </si>
  <si>
    <t>17,82 procent (1. jan 2014)</t>
  </si>
  <si>
    <t>Overenskomsten omtaler ikke om medarbejdere selv har mulighed for at foretage en forhøjet pensionsindbetaling</t>
  </si>
  <si>
    <t>Aftale for tjenstemandsansatte bibliotekarer</t>
  </si>
  <si>
    <t>Grundløn 25 + 2.200 (1. jan. 2014)</t>
  </si>
  <si>
    <t>Teknisk Landsforbund eller Konstruktørforeningen</t>
  </si>
  <si>
    <t>Overenskomst for bygningskonstruktører</t>
  </si>
  <si>
    <t>Bygningskonstruktører</t>
  </si>
  <si>
    <t>Grundløn 29 + 1.400.</t>
  </si>
  <si>
    <t>Grundløn fagligt ansvarlige</t>
  </si>
  <si>
    <t>Grundløn ledelsesopgaver</t>
  </si>
  <si>
    <t>Grundløn 35 + 2.000 eller 41</t>
  </si>
  <si>
    <t>Der skal indgås lokalaftale for basismedarbejdere</t>
  </si>
  <si>
    <t>Kvaliifikationstillæg</t>
  </si>
  <si>
    <t>16,8 procent (pr. 1. januar 2014)</t>
  </si>
  <si>
    <t>Foretages intet valg, er pensionsprocenten 16,8%</t>
  </si>
  <si>
    <t>Grundlønnen er 238.212 (31.03.2000 niveau)</t>
  </si>
  <si>
    <t>Ingen overenskomstbestemte tillæg (udover de anciennitetsbestemte)</t>
  </si>
  <si>
    <t>Medarbejdere ydes efter 4 års beskæftigelse (efter endt uddannelse) et tillæg på 19.419 (31.03.2000)</t>
  </si>
  <si>
    <t>Medarbejdere ydes efter 8 års beskæftigelse (efter endt uddannelse) et yderligere tillæg på 16.039 (31.03.2000)</t>
  </si>
  <si>
    <t>18,5 procent</t>
  </si>
  <si>
    <t>Medarbejder kan vælge at få udbetalt den pension som overstiger 16,6 procent</t>
  </si>
  <si>
    <t>Foretages intet valg, er pensionsprocenten 18,5%</t>
  </si>
  <si>
    <t>Laboranter, laboratoriteknikere, laborantpraktikanter, miljøteknikere, miljøassistenter og professionsbachelorer</t>
  </si>
  <si>
    <t>Grundløn miljøassistenter</t>
  </si>
  <si>
    <t>Grundløn 22 + 1.800</t>
  </si>
  <si>
    <t>Grundløn laboranter</t>
  </si>
  <si>
    <t>Grundløn 23 + 1.800</t>
  </si>
  <si>
    <t>Grundløn laboratorieteknikere</t>
  </si>
  <si>
    <t>Grundløn miljøteknikere</t>
  </si>
  <si>
    <t>Grundløn 29 + 2.600</t>
  </si>
  <si>
    <t>Grundløn Professionsbachelorer</t>
  </si>
  <si>
    <t>Grundløn 32 (1. januar 2014)</t>
  </si>
  <si>
    <t>Grundløn specialister og ledere</t>
  </si>
  <si>
    <t>Grundløn 32 eller 36 + 2.600</t>
  </si>
  <si>
    <t>Praktikvejleder</t>
  </si>
  <si>
    <t>Der skal indgås forhåndsaftale for medarbejdere på grundløn 22 + 1800 - 29 + 2.600</t>
  </si>
  <si>
    <t>Overenskomst for laboratorie- og miljøpersonale</t>
  </si>
  <si>
    <t>Ingen overenskomstbestemte tillæg (udover praktikvejleder)</t>
  </si>
  <si>
    <t>Laboranter på grundløn 23 + 1.800 ydes 7 løntrin efter 6 års beskæftigelse på grundlag af grunduddannelsen</t>
  </si>
  <si>
    <t>Miljøassistenter på grundløn 22 + 1.800 ydes 7 løntrin efter 6 års beskæftigelse på grundlag af grunduddannelsen</t>
  </si>
  <si>
    <t>15,5 procent</t>
  </si>
  <si>
    <t>HK Kommunal</t>
  </si>
  <si>
    <t>Overenskomst for pædagogisk uddannet personale ansat i lederstillinger i kommunerne</t>
  </si>
  <si>
    <t>Pædagoger, der ansættes som pædagogisk-administrative ledere</t>
  </si>
  <si>
    <t>Se forhåndsaftalen</t>
  </si>
  <si>
    <t>15,64 procent</t>
  </si>
  <si>
    <t>Pension ved ansættelsen</t>
  </si>
  <si>
    <t>BUPL, FOA eller SL</t>
  </si>
  <si>
    <t>17,3 procent (17,9% incl. Fritvalgstillæg)</t>
  </si>
  <si>
    <t>Pensionsprocent (93 gruppen)</t>
  </si>
  <si>
    <t>19,8 procent (20,4% incl. Fritvalgstillæg)</t>
  </si>
  <si>
    <t>Fritvalgstillæg på 0,6 prcent (pr. 1. januar 2014)</t>
  </si>
  <si>
    <t>Ydes løntillægget</t>
  </si>
  <si>
    <t>Særligt vedr. pens,giv tillæg</t>
  </si>
  <si>
    <t>Tjenstemæmd kan vælge at få pensionen af tillæggene på 13.000, 6.400 og 12.000 som løntillæg.</t>
  </si>
  <si>
    <t>Overenskomst for lærere i ungdomsskolen</t>
  </si>
  <si>
    <t>Grundløn 30 + 3.000</t>
  </si>
  <si>
    <t>Varetages stedfortræderfunktion ydes tillæg på 15.400</t>
  </si>
  <si>
    <t>Øvrige funktionstillæg</t>
  </si>
  <si>
    <t>Se overenskosmten for timetillæg for forskellige typer undervisning</t>
  </si>
  <si>
    <t>Lærere i ungdomsskolen ydes et tillæg på 10.100 (ungdomsskoletillæg)</t>
  </si>
  <si>
    <t>Lærere med 4 års sammenlagt besk. på grundlag af grunduddannelsen, indplaceres på trin 34 + 3.000</t>
  </si>
  <si>
    <t>Efter 8 års sammenlagt besk. På baggrund af grunduddannelsen, indplaceres læreren på trin 39</t>
  </si>
  <si>
    <t>Efter 12 års sammenlagt besk. På baggrund af grunduddanelsen indpalceres læreren på trin 39 + 10.000</t>
  </si>
  <si>
    <t>Anciennitetstillæg</t>
  </si>
  <si>
    <t>Lærere i ungdomsskolen</t>
  </si>
  <si>
    <t>Trin 46 + 4200 (steget fra 2000 den 1. jan 2014), eller trin 48 eller trin 49</t>
  </si>
  <si>
    <t>Ledere og mellemledere på skolerne og ledere med læreruddannelse ansat i pædagogisk-administrative stillinger i CBU, skolekonsulenter med ledelse og (skole)psykologer med/uden ledelse</t>
  </si>
  <si>
    <t>LC</t>
  </si>
  <si>
    <t>Musikskoleledere med MGK ydes tillæg på 41.000</t>
  </si>
  <si>
    <t>Fritvalgsordning på 0,34 procent</t>
  </si>
  <si>
    <t>Foretages intet valg, udgør pensionsprocenten 15,64%</t>
  </si>
  <si>
    <t>FMM</t>
  </si>
  <si>
    <t>Overenskomst for musikskolelærere</t>
  </si>
  <si>
    <t>Overenskomst for musikskoleledere</t>
  </si>
  <si>
    <t>Musikskolelærere</t>
  </si>
  <si>
    <t>Musikskoleledere</t>
  </si>
  <si>
    <t>Grundløn 28</t>
  </si>
  <si>
    <t>Lærere som efter 6 års besk efter overenskomsten ikke allerede har opnået det, indplaceres på trin 34</t>
  </si>
  <si>
    <t>Lærere som efter 10 års besk efter overenskomsten ikke allerede har opnået det, indplaceres på trin 40</t>
  </si>
  <si>
    <t>Pension til lærere med mindst 12 måneders månedslønsbeskæftigelse efter overenskomsten</t>
  </si>
  <si>
    <t>Tandlæger, afdelingstandlæger, overtandlæger og specialtandlæger</t>
  </si>
  <si>
    <t>Grundløn tandlæger</t>
  </si>
  <si>
    <t>Grundløn 40 + 6.300</t>
  </si>
  <si>
    <t>Grundløn afdelingstandlæge</t>
  </si>
  <si>
    <t>Grundløn 49</t>
  </si>
  <si>
    <t>Grundløn overtandlæge</t>
  </si>
  <si>
    <t>Grundløn 51+ 48.000</t>
  </si>
  <si>
    <t>Grundløn specialtandlæge</t>
  </si>
  <si>
    <t>Grundløn 51 + 6.300</t>
  </si>
  <si>
    <t>Filialklinikledertillæg</t>
  </si>
  <si>
    <t>Aftales lokalt</t>
  </si>
  <si>
    <t xml:space="preserve">Tandlæger som efter 4 års ansættelse ikke allerede har opnået det, indplaceres på trin 46 + 6.300 </t>
  </si>
  <si>
    <t>(Filialklinikledertillæg modregnes ikke i garantilønnen)</t>
  </si>
  <si>
    <t>19,65 procent</t>
  </si>
  <si>
    <t xml:space="preserve">Pension til 21-25 årige tandlæger efter 8 måneders kommunal, amtslig, regional ansættelse på mindst 8 timer. </t>
  </si>
  <si>
    <t>Pension ved ansættelsen til tandlæger over 25 år.</t>
  </si>
  <si>
    <t>Medarbejder kan vælge at få udbetalt den pension som overstiger 15,8 procent</t>
  </si>
  <si>
    <t>Foretages intet valg, udgør pensionsprocenten 19,65%</t>
  </si>
  <si>
    <t>De Offentlige Tandlæger, Peter Bangs Vej 36, 3. tv, 2000 Frederiksberg eller Tandlægeforeningen Amaliegade 17, 1256 Kbh K.</t>
  </si>
  <si>
    <t>Tjenestemandsansatte tandlæger</t>
  </si>
  <si>
    <t>Overenskomst for tandklinikassistenter</t>
  </si>
  <si>
    <t>Grundløn tandklinikassistenter</t>
  </si>
  <si>
    <t>Grundløn 1. tandklinikassistenter</t>
  </si>
  <si>
    <t>Grundløn 27</t>
  </si>
  <si>
    <t>Grundløn 30 + 2.400 eller 36 + 2.600</t>
  </si>
  <si>
    <t>Tandklinikassistenter på grundløn 22 ydes 6 trin efter 7 års sammenlagt besk. På grundlag af grunduddannelsen.</t>
  </si>
  <si>
    <t>(De 6 trin ydes i evt. andre tillæg</t>
  </si>
  <si>
    <t>Ingen overenskomstbestemte tillæg udover 7 års tillægget</t>
  </si>
  <si>
    <t>Der skal indgås aftale om et praktikvejlertillæg</t>
  </si>
  <si>
    <t>Pension til medarbejdere over 21 år</t>
  </si>
  <si>
    <t>Ishøj Kommunale Tandplejes Tillidsrepræsentant for tandklinikassistenterne.</t>
  </si>
  <si>
    <t>Løntilskud</t>
  </si>
  <si>
    <t>Eventuelle forudgående løntilskudsperioder indgår i pensionskarenstid</t>
  </si>
  <si>
    <t>Eventuelle forudgående løntilskudsperioder indgår i opgørelse af erfaringsdato</t>
  </si>
  <si>
    <t>Eventuelle forudgående løntilskudsperioder indgår ikke i optjeningen af rådighedstillæggets anciennitet</t>
  </si>
  <si>
    <t>Bemærk at kun løntilskud i Ishæj Kommune medtælles i anciennitetsoptjeningen.</t>
  </si>
  <si>
    <t>01.01.2014</t>
  </si>
  <si>
    <t>Overenskomst for pædagoger ved daginst, sfoére, klubber mv.</t>
  </si>
  <si>
    <t>Grundløn 26</t>
  </si>
  <si>
    <t>Grundløn pædagpger</t>
  </si>
  <si>
    <t>Grundløn ikke-uddannede klub</t>
  </si>
  <si>
    <t>Grundløn mellemledere</t>
  </si>
  <si>
    <t>Afd.ledere trin 30, stedfortrædere, trin 29, souschefer trin 30</t>
  </si>
  <si>
    <t xml:space="preserve">Funktionstillæg </t>
  </si>
  <si>
    <t>Pædagoger som efter 6 års ansætelse på bagrund af pæd.uddannelsen ikke allerede er det, aflønnes på trin 30.</t>
  </si>
  <si>
    <t>Pædagoger som efter 6 års ansætelse på bagrund af pæd.uddannelsen ikke allerede er det, aflønnes på trin 35</t>
  </si>
  <si>
    <t>13,98 procent (steget 1. jan. 2014)</t>
  </si>
  <si>
    <t>Ændring af</t>
  </si>
  <si>
    <t>lønsammensætning</t>
  </si>
  <si>
    <t>Pædagoger - Garantiløn 6 år</t>
  </si>
  <si>
    <t>Pædagoger - Garantiløn 10 år</t>
  </si>
  <si>
    <t>Lønindplaceringsskemaer sendes til BUPL, Lindevænget 19, 2750 Ballerup</t>
  </si>
  <si>
    <t>Lønindplaceringsskemaet sendes til fællestillidsrepræsentant, Ulla Skytt i Viben SFO med intern post eller pr. email xxxxxxxxxxxxx</t>
  </si>
  <si>
    <t>Medarbejdere med pædagogisk baggrund ansat i "Tryghed og kriminalitetsforebyggelse"</t>
  </si>
  <si>
    <t>Grundløn 30 + 4.000</t>
  </si>
  <si>
    <t>Forhåndsaftale:</t>
  </si>
  <si>
    <t>Der ydes 10.000 i tillæg for weekendarbejde</t>
  </si>
  <si>
    <t>Der ydes 22.400 i tillæg for aftenarbejde</t>
  </si>
  <si>
    <t>Der ydes 3.500 i tillæg for potentielt akut tilkald</t>
  </si>
  <si>
    <t>Der er ingen garantiløn eller obligatoriske kval.tillæg på denne overenskomst</t>
  </si>
  <si>
    <t>Fremtidig</t>
  </si>
  <si>
    <t>lønindplacering</t>
  </si>
  <si>
    <t>31.03.2000 niveau</t>
  </si>
  <si>
    <t>Rådighedstillæg</t>
  </si>
  <si>
    <t>Funktionstillæg for selvstyrende team/fleksibel tilrettelæg: 5.000 pens.</t>
  </si>
  <si>
    <t>Ikke-uddannede</t>
  </si>
  <si>
    <t>1 trin efter 4 år, 1 trin efter 8 år, 1 trin efter 12 år.</t>
  </si>
  <si>
    <t>Pæd. Diplom: 7.000 pens.</t>
  </si>
  <si>
    <t>Nummer</t>
  </si>
  <si>
    <t>Overenskomstens navn</t>
  </si>
  <si>
    <t>Dækningsområde</t>
  </si>
  <si>
    <t xml:space="preserve"> Originalen med alles underskrifter sendes til Økonomi-Løn.</t>
  </si>
  <si>
    <t xml:space="preserve">   Send det samtidigt til Løn-afdelingen sammen med oprettelsesskemaet</t>
  </si>
  <si>
    <t>Ved nyansættelser sendes lønindplaceringsskemaet til den forhandlingsberettigede faglige organisation.</t>
  </si>
  <si>
    <t>Ved ændringer i lønsammensætningen sendes lønindplaceringsskemaet til den forhandlingsberettigede faglige organisation.</t>
  </si>
  <si>
    <t>Overenskomsten oplister en række uddannelser for hvilke der skal aftales tillæg for lokalt.</t>
  </si>
  <si>
    <t>Ikke-uddannede klub - Garantiløn</t>
  </si>
  <si>
    <t>Procentreg:</t>
  </si>
  <si>
    <t>Beskrivelse af nuværende løn</t>
  </si>
  <si>
    <t>Funktionstillæg bortfalder hvis funktionen ophører</t>
  </si>
  <si>
    <t>Konsekvenser</t>
  </si>
  <si>
    <t>Pension for pædagogmedhjælpere over 21 år</t>
  </si>
  <si>
    <t>01.10.2014</t>
  </si>
  <si>
    <t>Albertslund Kommune</t>
  </si>
  <si>
    <t>Nuværende ansættelsesvilkår</t>
  </si>
  <si>
    <t xml:space="preserve">Albertslund Kommune  </t>
  </si>
  <si>
    <t>For overenskomstansatte og kontraktansatte chefer indbetales 19,05%, og pr. 1. april 2016: 19,55%</t>
  </si>
  <si>
    <t>For tjenestemandsansatte chefer indbetales 18,2% supplerende pensionsbidrag af de pensionsgivende tillæg</t>
  </si>
  <si>
    <t>Kontorass og studerende, trin 12 + 1.600</t>
  </si>
  <si>
    <t>Ved assistenter forstås faglært kontorpersonale med lærlinge-, EFG- eller erhvervs-faglig grunduddannelse inden for kontorfaget (offentlig administration eller lægesekretær). Uddannede lægesekretærer ansættes som assistent.</t>
  </si>
  <si>
    <t>Ved assistenter forstås ligeledes ansatte, som har gennemgået en uddannelse, der af Undervisningsministeriet, Det faglige Udvalg for kontoruddannelser eller Område-udvalget for Kontoruddannelser til Den Offentlige Forvaltning er blevet eller bliver godkendt som sidestillet med en egentlig lærlinge-, EFG- eller erhvervsuddannelse inden for kontorfaget. Se overenskosmten for eksempler.</t>
  </si>
  <si>
    <t>Overenskomstbestemt funktionstrin</t>
  </si>
  <si>
    <t>Overenskomst bestemt kvalifikationstrin</t>
  </si>
  <si>
    <t>Overenskomst bestemt funktionstillæg</t>
  </si>
  <si>
    <t>Overenskomst bestemt kval.tillæg (pens)</t>
  </si>
  <si>
    <t>Originalen med alles underskrifter sendes til Løn</t>
  </si>
  <si>
    <t>Ved timetalsændringer fremsendes lønindplaceringsskemaet alene til Løn</t>
  </si>
  <si>
    <t>Sygeplejersker, sundhedsplejersker, ergoterapeuter, fysioterapeuter, ernæringsassistenter og proffesionsbachelorer i ernæring</t>
  </si>
  <si>
    <t>Overenskomst for administration og it</t>
  </si>
  <si>
    <t>Ernæringsass med mindre end 7 års erfa, løntrin 1+3100. Mere end 7 år, trin 3 (uden 3.100)</t>
  </si>
  <si>
    <t>Område</t>
  </si>
  <si>
    <t>Grundbeløb</t>
  </si>
  <si>
    <t>Tjenestemands</t>
  </si>
  <si>
    <t>Det eneste som skal vedligeholdes er Tjenestemandsskalaen</t>
  </si>
  <si>
    <t>AC-skala vedligeholder sig selv via reguleringsprocenten</t>
  </si>
  <si>
    <t>Underskrift for Albertslund Kommune</t>
  </si>
  <si>
    <t>01.04.2015</t>
  </si>
  <si>
    <t>01.10.2015</t>
  </si>
  <si>
    <t>01.01.2016</t>
  </si>
  <si>
    <t>(0,11 procent)</t>
  </si>
  <si>
    <t>(0,96 procent)</t>
  </si>
  <si>
    <t>(0,50 procent)</t>
  </si>
  <si>
    <t>De GULE felter skal opdateres</t>
  </si>
  <si>
    <t>Overensk. for sygepl, sundhedspl, ergo, fysio, ernæringsass og proff.bachelorer i ernæring</t>
  </si>
  <si>
    <t xml:space="preserve">Procentregulering </t>
  </si>
  <si>
    <t>Almindelig skala</t>
  </si>
  <si>
    <t>Sundhedsskalaen regulerer sig selv via reguleringsprocenten</t>
  </si>
  <si>
    <t>A-niveau</t>
  </si>
  <si>
    <t xml:space="preserve">  Dato:</t>
  </si>
  <si>
    <t>Funktionstillæg bortfalder, hvis funktionen ophører</t>
  </si>
  <si>
    <t>Overenskomstnummer</t>
  </si>
  <si>
    <t>Overenskomstnummer:</t>
  </si>
  <si>
    <t>Arbejdsplads</t>
  </si>
  <si>
    <t>Erfaringsdato (lønanciennitet)</t>
  </si>
  <si>
    <t>Erfaringsdato (Lønaniciennitet)</t>
  </si>
  <si>
    <t>Underskrift for den faglige organisation</t>
  </si>
  <si>
    <t>Ingen reduktion i.f.t. besk.grad</t>
  </si>
  <si>
    <t>(sæt X)</t>
  </si>
  <si>
    <t>(Bemærkninger, fx engangsvederlag):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</si>
</sst>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#,##0.0000"/>
    <numFmt numFmtId="166" formatCode="#,##0.00;[Red]#,##0.00"/>
    <numFmt numFmtId="167" formatCode="d\/m/yyyy"/>
    <numFmt numFmtId="168" formatCode="d\/m/yy"/>
    <numFmt numFmtId="169" formatCode="0.0000"/>
    <numFmt numFmtId="170" formatCode=";;;"/>
    <numFmt numFmtId="171" formatCode="#"/>
    <numFmt numFmtId="172" formatCode="0.0000%"/>
    <numFmt numFmtId="173" formatCode="0.000000"/>
    <numFmt numFmtId="174" formatCode="_(* #,##0_);_(* \(#,##0\);_(* &quot;-&quot;??_);_(@_)"/>
    <numFmt numFmtId="175" formatCode="_(* #,##0.0_);_(* \(#,##0.0\);_(* &quot;-&quot;??_);_(@_)"/>
  </numFmts>
  <fonts count="59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7"/>
      <color indexed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8" tint="0.59999389629810485"/>
      <name val="Arial Narrow"/>
      <family val="2"/>
    </font>
    <font>
      <sz val="10"/>
      <color theme="0" tint="-0.34998626667073579"/>
      <name val="Arial Narrow"/>
      <family val="2"/>
    </font>
    <font>
      <sz val="10"/>
      <color theme="1" tint="0.34998626667073579"/>
      <name val="Arial"/>
      <family val="2"/>
    </font>
    <font>
      <b/>
      <sz val="11"/>
      <color rgb="FFFF0000"/>
      <name val="Arial Narrow"/>
      <family val="2"/>
    </font>
    <font>
      <b/>
      <sz val="10.5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theme="4" tint="0.39997558519241921"/>
      <name val="Arial Narrow"/>
      <family val="2"/>
    </font>
    <font>
      <b/>
      <sz val="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0" fillId="0" borderId="0"/>
    <xf numFmtId="0" fontId="41" fillId="0" borderId="0"/>
    <xf numFmtId="0" fontId="6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781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6" fontId="2" fillId="2" borderId="0" xfId="0" applyNumberFormat="1" applyFont="1" applyFill="1" applyBorder="1" applyProtection="1">
      <protection hidden="1"/>
    </xf>
    <xf numFmtId="17" fontId="3" fillId="2" borderId="0" xfId="0" applyNumberFormat="1" applyFont="1" applyFill="1" applyBorder="1" applyAlignment="1" applyProtection="1">
      <alignment horizontal="center"/>
      <protection hidden="1"/>
    </xf>
    <xf numFmtId="166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" fontId="2" fillId="2" borderId="8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" fontId="2" fillId="2" borderId="9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167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7" fontId="2" fillId="2" borderId="6" xfId="0" applyNumberFormat="1" applyFont="1" applyFill="1" applyBorder="1" applyAlignment="1" applyProtection="1">
      <alignment horizontal="left"/>
      <protection hidden="1"/>
    </xf>
    <xf numFmtId="17" fontId="2" fillId="2" borderId="6" xfId="0" applyNumberFormat="1" applyFont="1" applyFill="1" applyBorder="1" applyAlignment="1" applyProtection="1">
      <alignment horizontal="center"/>
      <protection hidden="1"/>
    </xf>
    <xf numFmtId="167" fontId="2" fillId="2" borderId="10" xfId="0" applyNumberFormat="1" applyFont="1" applyFill="1" applyBorder="1" applyAlignment="1" applyProtection="1">
      <alignment horizontal="center"/>
      <protection hidden="1"/>
    </xf>
    <xf numFmtId="167" fontId="2" fillId="2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4" fontId="2" fillId="2" borderId="8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/>
    <xf numFmtId="0" fontId="2" fillId="0" borderId="6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hidden="1"/>
    </xf>
    <xf numFmtId="0" fontId="2" fillId="2" borderId="7" xfId="0" applyFont="1" applyFill="1" applyBorder="1"/>
    <xf numFmtId="3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/>
    <xf numFmtId="4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5" xfId="0" applyFont="1" applyFill="1" applyBorder="1"/>
    <xf numFmtId="4" fontId="2" fillId="2" borderId="11" xfId="0" applyNumberFormat="1" applyFont="1" applyFill="1" applyBorder="1" applyAlignment="1" applyProtection="1">
      <alignment horizontal="right"/>
      <protection hidden="1"/>
    </xf>
    <xf numFmtId="0" fontId="8" fillId="2" borderId="4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 applyProtection="1">
      <alignment horizontal="right"/>
      <protection locked="0"/>
    </xf>
    <xf numFmtId="164" fontId="2" fillId="2" borderId="5" xfId="0" applyNumberFormat="1" applyFont="1" applyFill="1" applyBorder="1"/>
    <xf numFmtId="4" fontId="2" fillId="2" borderId="5" xfId="1" applyNumberFormat="1" applyFont="1" applyFill="1" applyBorder="1" applyProtection="1">
      <protection hidden="1"/>
    </xf>
    <xf numFmtId="4" fontId="2" fillId="2" borderId="9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/>
    <xf numFmtId="4" fontId="2" fillId="0" borderId="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/>
    <xf numFmtId="4" fontId="2" fillId="2" borderId="7" xfId="1" applyNumberFormat="1" applyFont="1" applyFill="1" applyBorder="1" applyProtection="1">
      <protection hidden="1"/>
    </xf>
    <xf numFmtId="0" fontId="8" fillId="2" borderId="12" xfId="0" applyFont="1" applyFill="1" applyBorder="1"/>
    <xf numFmtId="4" fontId="2" fillId="2" borderId="11" xfId="1" applyNumberFormat="1" applyFont="1" applyFill="1" applyBorder="1" applyProtection="1">
      <protection hidden="1"/>
    </xf>
    <xf numFmtId="0" fontId="2" fillId="2" borderId="13" xfId="0" applyFont="1" applyFill="1" applyBorder="1"/>
    <xf numFmtId="4" fontId="2" fillId="2" borderId="13" xfId="1" applyNumberFormat="1" applyFont="1" applyFill="1" applyBorder="1" applyProtection="1">
      <protection hidden="1"/>
    </xf>
    <xf numFmtId="4" fontId="2" fillId="2" borderId="1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Protection="1">
      <protection hidden="1"/>
    </xf>
    <xf numFmtId="4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hidden="1"/>
    </xf>
    <xf numFmtId="4" fontId="2" fillId="2" borderId="15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6" fontId="3" fillId="2" borderId="0" xfId="0" applyNumberFormat="1" applyFont="1" applyFill="1" applyBorder="1" applyProtection="1">
      <protection hidden="1"/>
    </xf>
    <xf numFmtId="0" fontId="3" fillId="2" borderId="15" xfId="0" applyFont="1" applyFill="1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Protection="1"/>
    <xf numFmtId="0" fontId="4" fillId="0" borderId="16" xfId="0" applyFont="1" applyBorder="1"/>
    <xf numFmtId="0" fontId="14" fillId="0" borderId="4" xfId="0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Fill="1" applyBorder="1"/>
    <xf numFmtId="10" fontId="2" fillId="2" borderId="9" xfId="0" applyNumberFormat="1" applyFont="1" applyFill="1" applyBorder="1" applyAlignment="1" applyProtection="1">
      <alignment horizontal="center"/>
      <protection hidden="1"/>
    </xf>
    <xf numFmtId="167" fontId="2" fillId="2" borderId="0" xfId="0" applyNumberFormat="1" applyFont="1" applyFill="1" applyBorder="1" applyProtection="1">
      <protection hidden="1"/>
    </xf>
    <xf numFmtId="10" fontId="2" fillId="2" borderId="8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Alignment="1" applyProtection="1">
      <alignment horizontal="right"/>
      <protection hidden="1"/>
    </xf>
    <xf numFmtId="164" fontId="3" fillId="2" borderId="0" xfId="0" applyNumberFormat="1" applyFont="1" applyFill="1" applyBorder="1" applyProtection="1">
      <protection hidden="1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17" xfId="0" applyFont="1" applyFill="1" applyBorder="1" applyAlignment="1" applyProtection="1">
      <alignment horizontal="left"/>
    </xf>
    <xf numFmtId="0" fontId="2" fillId="2" borderId="17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3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8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/>
    </xf>
    <xf numFmtId="4" fontId="3" fillId="2" borderId="8" xfId="0" applyNumberFormat="1" applyFont="1" applyFill="1" applyBorder="1" applyProtection="1"/>
    <xf numFmtId="0" fontId="2" fillId="2" borderId="9" xfId="0" applyFont="1" applyFill="1" applyBorder="1" applyProtection="1"/>
    <xf numFmtId="4" fontId="3" fillId="2" borderId="9" xfId="0" applyNumberFormat="1" applyFont="1" applyFill="1" applyBorder="1" applyProtection="1"/>
    <xf numFmtId="3" fontId="3" fillId="2" borderId="9" xfId="0" applyNumberFormat="1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left"/>
    </xf>
    <xf numFmtId="3" fontId="3" fillId="2" borderId="8" xfId="0" applyNumberFormat="1" applyFont="1" applyFill="1" applyBorder="1" applyProtection="1">
      <protection hidden="1"/>
    </xf>
    <xf numFmtId="4" fontId="3" fillId="2" borderId="8" xfId="0" applyNumberFormat="1" applyFont="1" applyFill="1" applyBorder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3" fillId="2" borderId="9" xfId="0" applyNumberFormat="1" applyFont="1" applyFill="1" applyBorder="1" applyProtection="1">
      <protection hidden="1"/>
    </xf>
    <xf numFmtId="0" fontId="2" fillId="2" borderId="20" xfId="0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8" xfId="0" applyFont="1" applyFill="1" applyBorder="1" applyProtection="1">
      <protection hidden="1"/>
    </xf>
    <xf numFmtId="0" fontId="3" fillId="2" borderId="3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18" xfId="0" applyFont="1" applyFill="1" applyBorder="1" applyProtection="1"/>
    <xf numFmtId="0" fontId="5" fillId="2" borderId="0" xfId="0" applyFont="1" applyFill="1"/>
    <xf numFmtId="0" fontId="3" fillId="2" borderId="0" xfId="0" applyFont="1" applyFill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11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1" fillId="4" borderId="22" xfId="0" applyFont="1" applyFill="1" applyBorder="1" applyAlignment="1" applyProtection="1">
      <protection hidden="1"/>
    </xf>
    <xf numFmtId="0" fontId="11" fillId="4" borderId="23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5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3" fontId="11" fillId="4" borderId="22" xfId="0" applyNumberFormat="1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Continuous"/>
      <protection hidden="1"/>
    </xf>
    <xf numFmtId="3" fontId="11" fillId="4" borderId="0" xfId="0" applyNumberFormat="1" applyFont="1" applyFill="1" applyBorder="1" applyAlignment="1" applyProtection="1">
      <alignment horizontal="center"/>
      <protection hidden="1"/>
    </xf>
    <xf numFmtId="49" fontId="11" fillId="4" borderId="0" xfId="0" applyNumberFormat="1" applyFont="1" applyFill="1" applyBorder="1" applyProtection="1">
      <protection hidden="1"/>
    </xf>
    <xf numFmtId="3" fontId="11" fillId="4" borderId="0" xfId="0" applyNumberFormat="1" applyFont="1" applyFill="1" applyBorder="1" applyProtection="1">
      <protection hidden="1"/>
    </xf>
    <xf numFmtId="49" fontId="11" fillId="0" borderId="0" xfId="0" applyNumberFormat="1" applyFont="1" applyProtection="1">
      <protection hidden="1"/>
    </xf>
    <xf numFmtId="3" fontId="11" fillId="4" borderId="25" xfId="0" applyNumberFormat="1" applyFont="1" applyFill="1" applyBorder="1" applyProtection="1">
      <protection hidden="1"/>
    </xf>
    <xf numFmtId="0" fontId="11" fillId="7" borderId="26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3" fontId="11" fillId="8" borderId="26" xfId="0" applyNumberFormat="1" applyFont="1" applyFill="1" applyBorder="1" applyProtection="1">
      <protection hidden="1"/>
    </xf>
    <xf numFmtId="3" fontId="11" fillId="8" borderId="27" xfId="0" applyNumberFormat="1" applyFont="1" applyFill="1" applyBorder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28" xfId="0" applyFont="1" applyFill="1" applyBorder="1" applyProtection="1">
      <protection hidden="1"/>
    </xf>
    <xf numFmtId="3" fontId="11" fillId="5" borderId="28" xfId="0" applyNumberFormat="1" applyFont="1" applyFill="1" applyBorder="1" applyProtection="1">
      <protection hidden="1"/>
    </xf>
    <xf numFmtId="3" fontId="11" fillId="5" borderId="29" xfId="0" applyNumberFormat="1" applyFont="1" applyFill="1" applyBorder="1" applyProtection="1">
      <protection hidden="1"/>
    </xf>
    <xf numFmtId="0" fontId="11" fillId="7" borderId="30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11" fillId="5" borderId="32" xfId="0" applyFont="1" applyFill="1" applyBorder="1" applyProtection="1">
      <protection locked="0"/>
    </xf>
    <xf numFmtId="0" fontId="11" fillId="5" borderId="33" xfId="0" applyFont="1" applyFill="1" applyBorder="1" applyProtection="1">
      <protection locked="0"/>
    </xf>
    <xf numFmtId="0" fontId="11" fillId="7" borderId="26" xfId="0" applyFont="1" applyFill="1" applyBorder="1" applyProtection="1">
      <protection locked="0"/>
    </xf>
    <xf numFmtId="0" fontId="11" fillId="5" borderId="28" xfId="0" applyFont="1" applyFill="1" applyBorder="1" applyProtection="1">
      <protection locked="0"/>
    </xf>
    <xf numFmtId="3" fontId="11" fillId="7" borderId="26" xfId="0" applyNumberFormat="1" applyFont="1" applyFill="1" applyBorder="1" applyProtection="1">
      <protection locked="0"/>
    </xf>
    <xf numFmtId="3" fontId="11" fillId="5" borderId="28" xfId="0" applyNumberFormat="1" applyFont="1" applyFill="1" applyBorder="1" applyProtection="1">
      <protection locked="0"/>
    </xf>
    <xf numFmtId="14" fontId="11" fillId="4" borderId="0" xfId="0" applyNumberFormat="1" applyFont="1" applyFill="1" applyBorder="1" applyProtection="1">
      <protection hidden="1"/>
    </xf>
    <xf numFmtId="168" fontId="2" fillId="2" borderId="9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3" fillId="3" borderId="19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16" xfId="0" applyFont="1" applyFill="1" applyBorder="1"/>
    <xf numFmtId="1" fontId="3" fillId="3" borderId="17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0" fontId="3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Protection="1"/>
    <xf numFmtId="0" fontId="5" fillId="2" borderId="1" xfId="0" applyFont="1" applyFill="1" applyBorder="1" applyProtection="1"/>
    <xf numFmtId="168" fontId="11" fillId="4" borderId="0" xfId="0" applyNumberFormat="1" applyFont="1" applyFill="1" applyBorder="1" applyAlignment="1" applyProtection="1">
      <alignment horizontal="left"/>
      <protection hidden="1"/>
    </xf>
    <xf numFmtId="0" fontId="11" fillId="5" borderId="0" xfId="8" applyFont="1" applyFill="1" applyBorder="1" applyProtection="1">
      <protection hidden="1"/>
    </xf>
    <xf numFmtId="0" fontId="11" fillId="5" borderId="21" xfId="8" applyFont="1" applyFill="1" applyBorder="1" applyProtection="1">
      <protection hidden="1"/>
    </xf>
    <xf numFmtId="0" fontId="3" fillId="2" borderId="1" xfId="0" applyFont="1" applyFill="1" applyBorder="1" applyProtection="1"/>
    <xf numFmtId="4" fontId="3" fillId="3" borderId="17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19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hidden="1"/>
    </xf>
    <xf numFmtId="4" fontId="3" fillId="2" borderId="1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5" borderId="23" xfId="0" applyFont="1" applyFill="1" applyBorder="1" applyProtection="1">
      <protection hidden="1"/>
    </xf>
    <xf numFmtId="3" fontId="11" fillId="5" borderId="0" xfId="0" applyNumberFormat="1" applyFont="1" applyFill="1" applyBorder="1" applyProtection="1">
      <protection hidden="1"/>
    </xf>
    <xf numFmtId="3" fontId="11" fillId="5" borderId="34" xfId="0" applyNumberFormat="1" applyFont="1" applyFill="1" applyBorder="1" applyProtection="1">
      <protection hidden="1"/>
    </xf>
    <xf numFmtId="0" fontId="10" fillId="9" borderId="19" xfId="0" applyFont="1" applyFill="1" applyBorder="1" applyProtection="1">
      <protection hidden="1"/>
    </xf>
    <xf numFmtId="0" fontId="11" fillId="9" borderId="18" xfId="0" applyFont="1" applyFill="1" applyBorder="1" applyProtection="1">
      <protection hidden="1"/>
    </xf>
    <xf numFmtId="0" fontId="11" fillId="5" borderId="19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4" fillId="0" borderId="5" xfId="0" applyFont="1" applyBorder="1" applyProtection="1"/>
    <xf numFmtId="0" fontId="2" fillId="2" borderId="0" xfId="0" applyFont="1" applyFill="1" applyBorder="1" applyAlignment="1" applyProtection="1">
      <alignment horizontal="left"/>
    </xf>
    <xf numFmtId="4" fontId="3" fillId="2" borderId="0" xfId="0" applyNumberFormat="1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170" fontId="3" fillId="2" borderId="17" xfId="0" applyNumberFormat="1" applyFont="1" applyFill="1" applyBorder="1" applyProtection="1">
      <protection hidden="1"/>
    </xf>
    <xf numFmtId="18" fontId="2" fillId="2" borderId="17" xfId="0" applyNumberFormat="1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3" fontId="11" fillId="5" borderId="0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11" fillId="5" borderId="23" xfId="8" applyFont="1" applyFill="1" applyBorder="1" applyProtection="1">
      <protection hidden="1"/>
    </xf>
    <xf numFmtId="0" fontId="11" fillId="5" borderId="7" xfId="8" applyFont="1" applyFill="1" applyBorder="1" applyProtection="1">
      <protection hidden="1"/>
    </xf>
    <xf numFmtId="0" fontId="11" fillId="5" borderId="35" xfId="8" applyFont="1" applyFill="1" applyBorder="1" applyProtection="1">
      <protection hidden="1"/>
    </xf>
    <xf numFmtId="171" fontId="3" fillId="3" borderId="17" xfId="0" applyNumberFormat="1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2" fillId="2" borderId="17" xfId="0" applyNumberFormat="1" applyFont="1" applyFill="1" applyBorder="1" applyProtection="1">
      <protection hidden="1"/>
    </xf>
    <xf numFmtId="168" fontId="2" fillId="2" borderId="10" xfId="0" applyNumberFormat="1" applyFont="1" applyFill="1" applyBorder="1" applyAlignment="1" applyProtection="1">
      <alignment horizontal="center"/>
      <protection hidden="1"/>
    </xf>
    <xf numFmtId="168" fontId="2" fillId="2" borderId="9" xfId="0" applyNumberFormat="1" applyFont="1" applyFill="1" applyBorder="1" applyAlignment="1" applyProtection="1">
      <alignment horizontal="center"/>
      <protection hidden="1"/>
    </xf>
    <xf numFmtId="171" fontId="3" fillId="2" borderId="17" xfId="0" applyNumberFormat="1" applyFont="1" applyFill="1" applyBorder="1" applyProtection="1">
      <protection hidden="1"/>
    </xf>
    <xf numFmtId="3" fontId="11" fillId="4" borderId="36" xfId="0" applyNumberFormat="1" applyFont="1" applyFill="1" applyBorder="1" applyProtection="1">
      <protection hidden="1"/>
    </xf>
    <xf numFmtId="3" fontId="11" fillId="4" borderId="37" xfId="0" applyNumberFormat="1" applyFont="1" applyFill="1" applyBorder="1" applyAlignment="1" applyProtection="1">
      <protection hidden="1"/>
    </xf>
    <xf numFmtId="3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3" fontId="11" fillId="4" borderId="34" xfId="0" applyNumberFormat="1" applyFont="1" applyFill="1" applyBorder="1" applyProtection="1">
      <protection hidden="1"/>
    </xf>
    <xf numFmtId="1" fontId="3" fillId="2" borderId="1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3" fillId="2" borderId="8" xfId="0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wrapText="1"/>
    </xf>
    <xf numFmtId="3" fontId="3" fillId="2" borderId="10" xfId="0" applyNumberFormat="1" applyFont="1" applyFill="1" applyBorder="1" applyProtection="1">
      <protection hidden="1"/>
    </xf>
    <xf numFmtId="4" fontId="3" fillId="2" borderId="16" xfId="0" applyNumberFormat="1" applyFont="1" applyFill="1" applyBorder="1" applyProtection="1">
      <protection hidden="1"/>
    </xf>
    <xf numFmtId="3" fontId="3" fillId="2" borderId="9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3" fontId="3" fillId="2" borderId="2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3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16" xfId="0" applyFont="1" applyFill="1" applyBorder="1" applyProtection="1"/>
    <xf numFmtId="0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/>
    <xf numFmtId="1" fontId="4" fillId="0" borderId="7" xfId="0" applyNumberFormat="1" applyFont="1" applyBorder="1"/>
    <xf numFmtId="4" fontId="16" fillId="0" borderId="0" xfId="0" applyNumberFormat="1" applyFont="1" applyProtection="1">
      <protection hidden="1"/>
    </xf>
    <xf numFmtId="0" fontId="3" fillId="2" borderId="7" xfId="0" applyFont="1" applyFill="1" applyBorder="1" applyProtection="1"/>
    <xf numFmtId="0" fontId="11" fillId="5" borderId="38" xfId="0" applyFont="1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3" fontId="11" fillId="5" borderId="39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1" fillId="0" borderId="0" xfId="0" applyNumberFormat="1" applyFont="1" applyAlignment="1" applyProtection="1">
      <alignment horizontal="right"/>
      <protection hidden="1"/>
    </xf>
    <xf numFmtId="3" fontId="11" fillId="5" borderId="40" xfId="0" applyNumberFormat="1" applyFont="1" applyFill="1" applyBorder="1" applyProtection="1">
      <protection hidden="1"/>
    </xf>
    <xf numFmtId="169" fontId="4" fillId="0" borderId="0" xfId="0" applyNumberFormat="1" applyFont="1" applyBorder="1"/>
    <xf numFmtId="168" fontId="4" fillId="0" borderId="0" xfId="0" applyNumberFormat="1" applyFont="1" applyBorder="1"/>
    <xf numFmtId="167" fontId="3" fillId="2" borderId="0" xfId="0" applyNumberFormat="1" applyFont="1" applyFill="1" applyProtection="1"/>
    <xf numFmtId="0" fontId="5" fillId="2" borderId="0" xfId="0" quotePrefix="1" applyFont="1" applyFill="1" applyBorder="1" applyAlignment="1" applyProtection="1">
      <alignment horizontal="left"/>
      <protection hidden="1"/>
    </xf>
    <xf numFmtId="10" fontId="11" fillId="7" borderId="26" xfId="0" applyNumberFormat="1" applyFont="1" applyFill="1" applyBorder="1" applyProtection="1">
      <protection locked="0" hidden="1"/>
    </xf>
    <xf numFmtId="10" fontId="11" fillId="5" borderId="28" xfId="0" applyNumberFormat="1" applyFont="1" applyFill="1" applyBorder="1" applyProtection="1">
      <protection locked="0" hidden="1"/>
    </xf>
    <xf numFmtId="0" fontId="11" fillId="5" borderId="25" xfId="0" applyFont="1" applyFill="1" applyBorder="1" applyProtection="1">
      <protection hidden="1"/>
    </xf>
    <xf numFmtId="0" fontId="11" fillId="5" borderId="35" xfId="0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locked="0"/>
    </xf>
    <xf numFmtId="167" fontId="3" fillId="3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6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3" fontId="11" fillId="10" borderId="7" xfId="0" applyNumberFormat="1" applyFont="1" applyFill="1" applyBorder="1" applyProtection="1">
      <protection locked="0"/>
    </xf>
    <xf numFmtId="3" fontId="11" fillId="10" borderId="41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1" fillId="11" borderId="0" xfId="0" applyFont="1" applyFill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applyFont="1" applyFill="1" applyBorder="1" applyProtection="1"/>
    <xf numFmtId="0" fontId="43" fillId="2" borderId="0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/>
    <xf numFmtId="168" fontId="19" fillId="2" borderId="0" xfId="0" applyNumberFormat="1" applyFont="1" applyFill="1" applyBorder="1" applyAlignment="1" applyProtection="1">
      <alignment horizontal="center"/>
      <protection hidden="1"/>
    </xf>
    <xf numFmtId="4" fontId="18" fillId="2" borderId="17" xfId="0" applyNumberFormat="1" applyFont="1" applyFill="1" applyBorder="1" applyProtection="1">
      <protection hidden="1"/>
    </xf>
    <xf numFmtId="4" fontId="18" fillId="2" borderId="18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19" fillId="2" borderId="5" xfId="0" applyNumberFormat="1" applyFont="1" applyFill="1" applyBorder="1" applyProtection="1">
      <protection hidden="1"/>
    </xf>
    <xf numFmtId="4" fontId="18" fillId="3" borderId="17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Protection="1"/>
    <xf numFmtId="0" fontId="18" fillId="2" borderId="0" xfId="0" applyFont="1" applyFill="1" applyProtection="1">
      <protection hidden="1"/>
    </xf>
    <xf numFmtId="0" fontId="19" fillId="2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wrapText="1"/>
    </xf>
    <xf numFmtId="4" fontId="18" fillId="2" borderId="0" xfId="0" applyNumberFormat="1" applyFont="1" applyFill="1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right" indent="1"/>
      <protection locked="0"/>
    </xf>
    <xf numFmtId="0" fontId="18" fillId="2" borderId="0" xfId="0" applyFont="1" applyFill="1" applyAlignment="1" applyProtection="1"/>
    <xf numFmtId="0" fontId="18" fillId="2" borderId="2" xfId="0" applyFont="1" applyFill="1" applyBorder="1" applyAlignment="1" applyProtection="1">
      <alignment horizontal="left" indent="1"/>
    </xf>
    <xf numFmtId="0" fontId="22" fillId="2" borderId="0" xfId="0" applyFont="1" applyFill="1" applyBorder="1" applyProtection="1"/>
    <xf numFmtId="0" fontId="18" fillId="2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indent="1"/>
    </xf>
    <xf numFmtId="168" fontId="19" fillId="2" borderId="7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vertical="justify"/>
    </xf>
    <xf numFmtId="168" fontId="19" fillId="2" borderId="0" xfId="0" applyNumberFormat="1" applyFont="1" applyFill="1" applyBorder="1" applyAlignment="1" applyProtection="1">
      <alignment horizontal="center" vertical="justify"/>
      <protection hidden="1"/>
    </xf>
    <xf numFmtId="10" fontId="18" fillId="2" borderId="4" xfId="0" applyNumberFormat="1" applyFont="1" applyFill="1" applyBorder="1" applyAlignment="1" applyProtection="1">
      <alignment horizontal="left"/>
      <protection hidden="1"/>
    </xf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 vertical="top"/>
    </xf>
    <xf numFmtId="4" fontId="18" fillId="2" borderId="0" xfId="0" applyNumberFormat="1" applyFont="1" applyFill="1" applyBorder="1" applyProtection="1"/>
    <xf numFmtId="3" fontId="18" fillId="2" borderId="5" xfId="0" applyNumberFormat="1" applyFont="1" applyFill="1" applyBorder="1" applyAlignment="1" applyProtection="1">
      <alignment horizontal="center"/>
      <protection hidden="1"/>
    </xf>
    <xf numFmtId="4" fontId="19" fillId="2" borderId="17" xfId="0" applyNumberFormat="1" applyFont="1" applyFill="1" applyBorder="1" applyProtection="1">
      <protection hidden="1"/>
    </xf>
    <xf numFmtId="4" fontId="19" fillId="2" borderId="18" xfId="0" applyNumberFormat="1" applyFont="1" applyFill="1" applyBorder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left" indent="1"/>
      <protection hidden="1"/>
    </xf>
    <xf numFmtId="171" fontId="24" fillId="2" borderId="0" xfId="0" applyNumberFormat="1" applyFont="1" applyFill="1" applyBorder="1" applyAlignment="1" applyProtection="1">
      <alignment horizontal="center" vertical="center"/>
      <protection hidden="1"/>
    </xf>
    <xf numFmtId="171" fontId="18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justify" indent="4"/>
    </xf>
    <xf numFmtId="168" fontId="19" fillId="2" borderId="0" xfId="0" applyNumberFormat="1" applyFont="1" applyFill="1" applyBorder="1" applyAlignment="1" applyProtection="1">
      <alignment horizontal="left" vertical="justify" indent="4"/>
      <protection hidden="1"/>
    </xf>
    <xf numFmtId="0" fontId="18" fillId="2" borderId="0" xfId="0" applyFont="1" applyFill="1" applyAlignment="1" applyProtection="1">
      <alignment vertical="center"/>
    </xf>
    <xf numFmtId="0" fontId="18" fillId="2" borderId="2" xfId="0" applyFont="1" applyFill="1" applyBorder="1" applyAlignment="1" applyProtection="1">
      <alignment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18" fillId="2" borderId="1" xfId="0" applyFont="1" applyFill="1" applyBorder="1" applyAlignment="1" applyProtection="1">
      <alignment vertical="center"/>
    </xf>
    <xf numFmtId="170" fontId="18" fillId="2" borderId="0" xfId="0" applyNumberFormat="1" applyFont="1" applyFill="1" applyBorder="1" applyAlignment="1" applyProtection="1">
      <protection hidden="1"/>
    </xf>
    <xf numFmtId="171" fontId="25" fillId="2" borderId="0" xfId="0" applyNumberFormat="1" applyFont="1" applyFill="1" applyBorder="1" applyAlignment="1" applyProtection="1">
      <alignment vertical="top" wrapText="1"/>
      <protection hidden="1"/>
    </xf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NumberFormat="1" applyFont="1" applyFill="1" applyBorder="1" applyAlignment="1" applyProtection="1">
      <alignment horizontal="left" indent="1"/>
      <protection hidden="1"/>
    </xf>
    <xf numFmtId="4" fontId="19" fillId="2" borderId="17" xfId="0" applyNumberFormat="1" applyFont="1" applyFill="1" applyBorder="1" applyProtection="1"/>
    <xf numFmtId="3" fontId="19" fillId="2" borderId="17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4" fontId="19" fillId="2" borderId="0" xfId="0" applyNumberFormat="1" applyFont="1" applyFill="1" applyBorder="1" applyProtection="1">
      <protection hidden="1"/>
    </xf>
    <xf numFmtId="0" fontId="45" fillId="2" borderId="0" xfId="0" applyFont="1" applyFill="1" applyProtection="1"/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23" fillId="2" borderId="0" xfId="0" applyFont="1" applyFill="1" applyAlignment="1" applyProtection="1"/>
    <xf numFmtId="171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171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/>
    <xf numFmtId="0" fontId="46" fillId="2" borderId="0" xfId="0" applyFont="1" applyFill="1" applyBorder="1" applyAlignment="1" applyProtection="1"/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3" xfId="0" applyFont="1" applyFill="1" applyBorder="1" applyProtection="1"/>
    <xf numFmtId="0" fontId="18" fillId="2" borderId="4" xfId="0" applyFont="1" applyFill="1" applyBorder="1" applyProtection="1"/>
    <xf numFmtId="0" fontId="46" fillId="2" borderId="0" xfId="0" applyFont="1" applyFill="1" applyBorder="1" applyProtection="1"/>
    <xf numFmtId="171" fontId="19" fillId="2" borderId="5" xfId="0" applyNumberFormat="1" applyFont="1" applyFill="1" applyBorder="1" applyAlignment="1" applyProtection="1">
      <alignment horizontal="left" vertical="center" wrapText="1"/>
      <protection hidden="1"/>
    </xf>
    <xf numFmtId="0" fontId="43" fillId="2" borderId="4" xfId="0" applyFont="1" applyFill="1" applyBorder="1" applyAlignment="1" applyProtection="1">
      <alignment horizontal="center"/>
    </xf>
    <xf numFmtId="171" fontId="25" fillId="2" borderId="5" xfId="0" applyNumberFormat="1" applyFont="1" applyFill="1" applyBorder="1" applyAlignment="1" applyProtection="1">
      <alignment vertical="top" wrapText="1"/>
      <protection hidden="1"/>
    </xf>
    <xf numFmtId="0" fontId="18" fillId="2" borderId="5" xfId="0" applyFont="1" applyFill="1" applyBorder="1" applyProtection="1"/>
    <xf numFmtId="0" fontId="43" fillId="2" borderId="4" xfId="0" applyFont="1" applyFill="1" applyBorder="1" applyAlignment="1" applyProtection="1">
      <alignment horizontal="center" vertical="top"/>
    </xf>
    <xf numFmtId="0" fontId="43" fillId="2" borderId="4" xfId="0" applyFont="1" applyFill="1" applyBorder="1" applyAlignment="1" applyProtection="1"/>
    <xf numFmtId="0" fontId="46" fillId="2" borderId="6" xfId="0" applyFont="1" applyFill="1" applyBorder="1" applyAlignment="1" applyProtection="1"/>
    <xf numFmtId="0" fontId="46" fillId="2" borderId="16" xfId="0" applyFont="1" applyFill="1" applyBorder="1" applyAlignme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171" fontId="1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/>
    <xf numFmtId="171" fontId="25" fillId="2" borderId="0" xfId="0" applyNumberFormat="1" applyFont="1" applyFill="1" applyBorder="1" applyAlignment="1" applyProtection="1">
      <alignment vertical="top"/>
      <protection hidden="1"/>
    </xf>
    <xf numFmtId="171" fontId="1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16" xfId="0" applyFont="1" applyFill="1" applyBorder="1" applyProtection="1"/>
    <xf numFmtId="0" fontId="25" fillId="2" borderId="0" xfId="0" applyFont="1" applyFill="1" applyBorder="1" applyProtection="1"/>
    <xf numFmtId="4" fontId="26" fillId="2" borderId="0" xfId="0" applyNumberFormat="1" applyFont="1" applyFill="1" applyBorder="1" applyProtection="1"/>
    <xf numFmtId="0" fontId="26" fillId="2" borderId="0" xfId="0" applyFont="1" applyFill="1" applyBorder="1" applyProtection="1"/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Protection="1"/>
    <xf numFmtId="171" fontId="18" fillId="2" borderId="5" xfId="0" applyNumberFormat="1" applyFont="1" applyFill="1" applyBorder="1" applyAlignment="1" applyProtection="1">
      <alignment horizontal="left" vertical="top" wrapText="1"/>
      <protection hidden="1"/>
    </xf>
    <xf numFmtId="171" fontId="18" fillId="2" borderId="5" xfId="0" applyNumberFormat="1" applyFont="1" applyFill="1" applyBorder="1" applyAlignment="1" applyProtection="1">
      <alignment vertical="center" wrapText="1"/>
      <protection hidden="1"/>
    </xf>
    <xf numFmtId="171" fontId="18" fillId="2" borderId="5" xfId="0" applyNumberFormat="1" applyFont="1" applyFill="1" applyBorder="1" applyAlignment="1" applyProtection="1">
      <alignment vertical="top" wrapText="1"/>
      <protection hidden="1"/>
    </xf>
    <xf numFmtId="171" fontId="25" fillId="2" borderId="0" xfId="0" applyNumberFormat="1" applyFont="1" applyFill="1" applyBorder="1" applyAlignment="1" applyProtection="1">
      <alignment horizontal="left" vertical="top" wrapText="1"/>
      <protection hidden="1"/>
    </xf>
    <xf numFmtId="0" fontId="18" fillId="2" borderId="2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/>
    <xf numFmtId="0" fontId="21" fillId="11" borderId="0" xfId="0" applyFont="1" applyFill="1" applyBorder="1"/>
    <xf numFmtId="0" fontId="18" fillId="2" borderId="20" xfId="0" applyNumberFormat="1" applyFont="1" applyFill="1" applyBorder="1" applyProtection="1">
      <protection hidden="1"/>
    </xf>
    <xf numFmtId="4" fontId="18" fillId="2" borderId="16" xfId="0" applyNumberFormat="1" applyFont="1" applyFill="1" applyBorder="1" applyProtection="1"/>
    <xf numFmtId="4" fontId="18" fillId="2" borderId="5" xfId="0" applyNumberFormat="1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horizontal="left"/>
      <protection hidden="1"/>
    </xf>
    <xf numFmtId="3" fontId="19" fillId="2" borderId="9" xfId="0" applyNumberFormat="1" applyFont="1" applyFill="1" applyBorder="1" applyAlignment="1" applyProtection="1">
      <alignment horizontal="center"/>
      <protection hidden="1"/>
    </xf>
    <xf numFmtId="4" fontId="18" fillId="2" borderId="1" xfId="0" applyNumberFormat="1" applyFont="1" applyFill="1" applyBorder="1" applyAlignment="1" applyProtection="1">
      <alignment horizontal="center"/>
    </xf>
    <xf numFmtId="168" fontId="19" fillId="2" borderId="0" xfId="0" applyNumberFormat="1" applyFont="1" applyFill="1" applyBorder="1" applyAlignment="1" applyProtection="1">
      <alignment horizontal="left" vertical="justify" indent="2"/>
      <protection hidden="1"/>
    </xf>
    <xf numFmtId="0" fontId="44" fillId="2" borderId="0" xfId="0" applyFont="1" applyFill="1" applyAlignment="1" applyProtection="1"/>
    <xf numFmtId="0" fontId="18" fillId="2" borderId="2" xfId="0" applyFont="1" applyFill="1" applyBorder="1" applyAlignment="1" applyProtection="1"/>
    <xf numFmtId="0" fontId="25" fillId="3" borderId="17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9" fontId="18" fillId="0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Protection="1"/>
    <xf numFmtId="0" fontId="43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vertical="top"/>
    </xf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 wrapText="1"/>
    </xf>
    <xf numFmtId="0" fontId="18" fillId="2" borderId="0" xfId="0" quotePrefix="1" applyNumberFormat="1" applyFont="1" applyFill="1" applyAlignment="1" applyProtection="1">
      <alignment vertical="top" wrapText="1"/>
    </xf>
    <xf numFmtId="0" fontId="19" fillId="2" borderId="0" xfId="0" applyNumberFormat="1" applyFont="1" applyFill="1" applyAlignment="1" applyProtection="1">
      <alignment vertical="top" wrapText="1"/>
    </xf>
    <xf numFmtId="0" fontId="18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Protection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vertical="top"/>
    </xf>
    <xf numFmtId="0" fontId="18" fillId="2" borderId="0" xfId="0" applyNumberFormat="1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top"/>
    </xf>
    <xf numFmtId="0" fontId="23" fillId="2" borderId="0" xfId="0" applyNumberFormat="1" applyFont="1" applyFill="1" applyAlignment="1" applyProtection="1">
      <alignment horizontal="right" vertical="center"/>
    </xf>
    <xf numFmtId="10" fontId="47" fillId="2" borderId="0" xfId="0" applyNumberFormat="1" applyFont="1" applyFill="1" applyBorder="1" applyAlignment="1" applyProtection="1">
      <alignment horizontal="left"/>
      <protection hidden="1"/>
    </xf>
    <xf numFmtId="0" fontId="23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righ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7" fillId="11" borderId="0" xfId="0" applyFont="1" applyFill="1" applyBorder="1"/>
    <xf numFmtId="0" fontId="32" fillId="11" borderId="0" xfId="0" applyFont="1" applyFill="1"/>
    <xf numFmtId="3" fontId="17" fillId="11" borderId="0" xfId="1" applyNumberFormat="1" applyFont="1" applyFill="1" applyBorder="1" applyAlignment="1">
      <alignment horizontal="center"/>
    </xf>
    <xf numFmtId="4" fontId="17" fillId="11" borderId="0" xfId="0" applyNumberFormat="1" applyFont="1" applyFill="1" applyBorder="1"/>
    <xf numFmtId="0" fontId="33" fillId="11" borderId="0" xfId="0" applyFont="1" applyFill="1" applyBorder="1"/>
    <xf numFmtId="37" fontId="17" fillId="11" borderId="0" xfId="6" applyNumberFormat="1" applyFont="1" applyFill="1" applyBorder="1" applyProtection="1"/>
    <xf numFmtId="174" fontId="17" fillId="11" borderId="0" xfId="0" applyNumberFormat="1" applyFont="1" applyFill="1" applyBorder="1"/>
    <xf numFmtId="0" fontId="32" fillId="0" borderId="0" xfId="0" applyFont="1"/>
    <xf numFmtId="0" fontId="43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center"/>
    </xf>
    <xf numFmtId="10" fontId="4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0" fontId="18" fillId="0" borderId="0" xfId="0" applyNumberFormat="1" applyFont="1" applyFill="1" applyBorder="1" applyAlignment="1">
      <alignment horizontal="center" vertical="top"/>
    </xf>
    <xf numFmtId="10" fontId="18" fillId="0" borderId="0" xfId="0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ill="1"/>
    <xf numFmtId="0" fontId="19" fillId="13" borderId="0" xfId="0" applyFont="1" applyFill="1" applyBorder="1"/>
    <xf numFmtId="0" fontId="49" fillId="13" borderId="0" xfId="0" applyFont="1" applyFill="1" applyBorder="1"/>
    <xf numFmtId="0" fontId="19" fillId="13" borderId="0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center"/>
    </xf>
    <xf numFmtId="0" fontId="46" fillId="2" borderId="0" xfId="0" applyFont="1" applyFill="1" applyAlignment="1" applyProtection="1"/>
    <xf numFmtId="0" fontId="46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wrapText="1"/>
    </xf>
    <xf numFmtId="0" fontId="19" fillId="2" borderId="0" xfId="0" applyFont="1" applyFill="1" applyBorder="1" applyAlignment="1" applyProtection="1"/>
    <xf numFmtId="0" fontId="45" fillId="2" borderId="0" xfId="0" applyFont="1" applyFill="1" applyBorder="1" applyProtection="1"/>
    <xf numFmtId="171" fontId="35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right"/>
      <protection hidden="1"/>
    </xf>
    <xf numFmtId="175" fontId="17" fillId="11" borderId="0" xfId="1" applyNumberFormat="1" applyFont="1" applyFill="1" applyBorder="1"/>
    <xf numFmtId="174" fontId="17" fillId="11" borderId="0" xfId="1" applyNumberFormat="1" applyFont="1" applyFill="1" applyBorder="1"/>
    <xf numFmtId="174" fontId="17" fillId="11" borderId="0" xfId="1" applyNumberFormat="1" applyFont="1" applyFill="1" applyBorder="1" applyAlignment="1">
      <alignment horizontal="center"/>
    </xf>
    <xf numFmtId="0" fontId="50" fillId="2" borderId="20" xfId="0" applyNumberFormat="1" applyFont="1" applyFill="1" applyBorder="1" applyProtection="1">
      <protection hidden="1"/>
    </xf>
    <xf numFmtId="0" fontId="51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3" fontId="17" fillId="11" borderId="0" xfId="2" applyNumberFormat="1" applyFont="1" applyFill="1" applyBorder="1" applyAlignment="1">
      <alignment horizontal="center"/>
    </xf>
    <xf numFmtId="3" fontId="41" fillId="11" borderId="0" xfId="5" applyNumberFormat="1" applyFill="1" applyBorder="1" applyAlignment="1">
      <alignment horizontal="center"/>
    </xf>
    <xf numFmtId="3" fontId="21" fillId="11" borderId="0" xfId="0" applyNumberFormat="1" applyFont="1" applyFill="1"/>
    <xf numFmtId="3" fontId="41" fillId="0" borderId="0" xfId="7" applyNumberFormat="1" applyBorder="1" applyAlignment="1">
      <alignment horizontal="center"/>
    </xf>
    <xf numFmtId="3" fontId="41" fillId="0" borderId="16" xfId="7" applyNumberFormat="1" applyBorder="1" applyAlignment="1">
      <alignment horizontal="center"/>
    </xf>
    <xf numFmtId="3" fontId="41" fillId="0" borderId="2" xfId="7" applyNumberFormat="1" applyBorder="1" applyAlignment="1">
      <alignment horizontal="center"/>
    </xf>
    <xf numFmtId="3" fontId="37" fillId="0" borderId="0" xfId="7" applyNumberFormat="1" applyFont="1" applyBorder="1" applyAlignment="1">
      <alignment horizontal="center"/>
    </xf>
    <xf numFmtId="3" fontId="37" fillId="0" borderId="16" xfId="7" applyNumberFormat="1" applyFont="1" applyBorder="1" applyAlignment="1">
      <alignment horizontal="center"/>
    </xf>
    <xf numFmtId="3" fontId="37" fillId="0" borderId="13" xfId="7" applyNumberFormat="1" applyFont="1" applyBorder="1" applyAlignment="1">
      <alignment horizontal="center"/>
    </xf>
    <xf numFmtId="3" fontId="41" fillId="12" borderId="0" xfId="7" applyNumberFormat="1" applyFill="1" applyBorder="1" applyAlignment="1">
      <alignment horizontal="center"/>
    </xf>
    <xf numFmtId="3" fontId="41" fillId="12" borderId="5" xfId="7" applyNumberFormat="1" applyFill="1" applyBorder="1" applyAlignment="1">
      <alignment horizontal="center"/>
    </xf>
    <xf numFmtId="3" fontId="41" fillId="12" borderId="16" xfId="7" applyNumberFormat="1" applyFill="1" applyBorder="1" applyAlignment="1">
      <alignment horizontal="center"/>
    </xf>
    <xf numFmtId="3" fontId="52" fillId="12" borderId="5" xfId="7" applyNumberFormat="1" applyFont="1" applyFill="1" applyBorder="1" applyAlignment="1">
      <alignment horizontal="center"/>
    </xf>
    <xf numFmtId="3" fontId="52" fillId="12" borderId="16" xfId="7" applyNumberFormat="1" applyFont="1" applyFill="1" applyBorder="1" applyAlignment="1">
      <alignment horizontal="center"/>
    </xf>
    <xf numFmtId="3" fontId="52" fillId="12" borderId="13" xfId="7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14" fontId="39" fillId="14" borderId="0" xfId="0" applyNumberFormat="1" applyFont="1" applyFill="1" applyAlignment="1">
      <alignment horizontal="right"/>
    </xf>
    <xf numFmtId="0" fontId="39" fillId="14" borderId="0" xfId="0" applyFont="1" applyFill="1"/>
    <xf numFmtId="14" fontId="39" fillId="0" borderId="0" xfId="0" applyNumberFormat="1" applyFont="1" applyAlignment="1">
      <alignment horizontal="right"/>
    </xf>
    <xf numFmtId="165" fontId="39" fillId="14" borderId="42" xfId="0" applyNumberFormat="1" applyFont="1" applyFill="1" applyBorder="1" applyAlignment="1">
      <alignment horizontal="right" wrapText="1"/>
    </xf>
    <xf numFmtId="168" fontId="39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165" fontId="39" fillId="14" borderId="0" xfId="0" applyNumberFormat="1" applyFont="1" applyFill="1" applyAlignment="1">
      <alignment horizontal="right"/>
    </xf>
    <xf numFmtId="172" fontId="39" fillId="0" borderId="0" xfId="9" applyNumberFormat="1" applyFont="1" applyBorder="1"/>
    <xf numFmtId="0" fontId="39" fillId="0" borderId="0" xfId="0" applyFont="1" applyBorder="1"/>
    <xf numFmtId="165" fontId="39" fillId="0" borderId="0" xfId="0" applyNumberFormat="1" applyFont="1"/>
    <xf numFmtId="0" fontId="39" fillId="0" borderId="0" xfId="0" applyFont="1" applyAlignment="1">
      <alignment wrapText="1"/>
    </xf>
    <xf numFmtId="4" fontId="39" fillId="0" borderId="0" xfId="0" applyNumberFormat="1" applyFont="1"/>
    <xf numFmtId="3" fontId="17" fillId="12" borderId="0" xfId="3" applyNumberFormat="1" applyFont="1" applyFill="1" applyBorder="1" applyAlignment="1">
      <alignment horizontal="right" indent="1"/>
    </xf>
    <xf numFmtId="3" fontId="17" fillId="12" borderId="7" xfId="3" applyNumberFormat="1" applyFont="1" applyFill="1" applyBorder="1" applyAlignment="1">
      <alignment horizontal="right" indent="1"/>
    </xf>
    <xf numFmtId="3" fontId="37" fillId="12" borderId="0" xfId="7" applyNumberFormat="1" applyFont="1" applyFill="1" applyBorder="1" applyAlignment="1">
      <alignment horizontal="center"/>
    </xf>
    <xf numFmtId="3" fontId="37" fillId="12" borderId="43" xfId="7" applyNumberFormat="1" applyFont="1" applyFill="1" applyBorder="1" applyAlignment="1">
      <alignment horizontal="center"/>
    </xf>
    <xf numFmtId="0" fontId="33" fillId="2" borderId="0" xfId="0" applyFont="1" applyFill="1"/>
    <xf numFmtId="0" fontId="17" fillId="2" borderId="0" xfId="0" applyFont="1" applyFill="1"/>
    <xf numFmtId="0" fontId="17" fillId="2" borderId="0" xfId="0" applyFont="1" applyFill="1" applyProtection="1">
      <protection hidden="1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right"/>
    </xf>
    <xf numFmtId="1" fontId="17" fillId="3" borderId="17" xfId="0" applyNumberFormat="1" applyFont="1" applyFill="1" applyBorder="1" applyProtection="1">
      <protection locked="0"/>
    </xf>
    <xf numFmtId="0" fontId="33" fillId="2" borderId="4" xfId="0" applyFont="1" applyFill="1" applyBorder="1" applyAlignment="1" applyProtection="1">
      <alignment horizontal="left" indent="1"/>
    </xf>
    <xf numFmtId="0" fontId="17" fillId="2" borderId="0" xfId="0" applyFont="1" applyFill="1" applyProtection="1"/>
    <xf numFmtId="0" fontId="33" fillId="2" borderId="1" xfId="0" applyFont="1" applyFill="1" applyBorder="1" applyProtection="1"/>
    <xf numFmtId="0" fontId="17" fillId="2" borderId="17" xfId="0" applyFont="1" applyFill="1" applyBorder="1" applyProtection="1">
      <protection hidden="1"/>
    </xf>
    <xf numFmtId="4" fontId="17" fillId="2" borderId="17" xfId="0" applyNumberFormat="1" applyFont="1" applyFill="1" applyBorder="1" applyProtection="1">
      <protection hidden="1"/>
    </xf>
    <xf numFmtId="4" fontId="17" fillId="3" borderId="17" xfId="0" applyNumberFormat="1" applyFont="1" applyFill="1" applyBorder="1" applyProtection="1">
      <protection locked="0"/>
    </xf>
    <xf numFmtId="173" fontId="17" fillId="2" borderId="17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72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/>
    <xf numFmtId="172" fontId="17" fillId="2" borderId="0" xfId="0" applyNumberFormat="1" applyFont="1" applyFill="1"/>
    <xf numFmtId="167" fontId="17" fillId="2" borderId="0" xfId="0" applyNumberFormat="1" applyFont="1" applyFill="1"/>
    <xf numFmtId="0" fontId="18" fillId="12" borderId="19" xfId="0" applyFont="1" applyFill="1" applyBorder="1" applyAlignment="1" applyProtection="1">
      <alignment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 indent="1"/>
    </xf>
    <xf numFmtId="171" fontId="2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/>
    </xf>
    <xf numFmtId="1" fontId="18" fillId="2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Protection="1">
      <protection locked="0" hidden="1"/>
    </xf>
    <xf numFmtId="0" fontId="19" fillId="2" borderId="0" xfId="0" applyNumberFormat="1" applyFont="1" applyFill="1" applyBorder="1" applyProtection="1">
      <protection locked="0" hidden="1"/>
    </xf>
    <xf numFmtId="0" fontId="19" fillId="2" borderId="5" xfId="0" applyNumberFormat="1" applyFont="1" applyFill="1" applyBorder="1" applyProtection="1">
      <protection locked="0" hidden="1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indent="1"/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Protection="1"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1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18" fillId="12" borderId="20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 indent="1"/>
      <protection locked="0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4" fontId="55" fillId="16" borderId="0" xfId="0" applyNumberFormat="1" applyFont="1" applyFill="1" applyBorder="1" applyAlignment="1" applyProtection="1">
      <alignment horizontal="center"/>
      <protection hidden="1"/>
    </xf>
    <xf numFmtId="0" fontId="18" fillId="16" borderId="0" xfId="0" applyFont="1" applyFill="1" applyBorder="1" applyProtection="1"/>
    <xf numFmtId="0" fontId="19" fillId="16" borderId="0" xfId="0" applyFont="1" applyFill="1" applyBorder="1" applyProtection="1"/>
    <xf numFmtId="4" fontId="18" fillId="16" borderId="0" xfId="0" applyNumberFormat="1" applyFont="1" applyFill="1" applyBorder="1" applyProtection="1">
      <protection hidden="1"/>
    </xf>
    <xf numFmtId="4" fontId="55" fillId="0" borderId="0" xfId="0" applyNumberFormat="1" applyFont="1" applyFill="1" applyBorder="1" applyAlignment="1" applyProtection="1">
      <alignment horizontal="center"/>
      <protection locked="0" hidden="1"/>
    </xf>
    <xf numFmtId="0" fontId="32" fillId="2" borderId="0" xfId="0" applyFont="1" applyFill="1" applyBorder="1" applyAlignment="1" applyProtection="1">
      <alignment horizontal="left" textRotation="180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5" xfId="0" applyNumberFormat="1" applyFont="1" applyFill="1" applyBorder="1" applyProtection="1"/>
    <xf numFmtId="0" fontId="18" fillId="2" borderId="0" xfId="0" applyFont="1" applyFill="1" applyAlignment="1" applyProtection="1">
      <alignment horizontal="left" indent="1"/>
    </xf>
    <xf numFmtId="168" fontId="19" fillId="2" borderId="0" xfId="0" applyNumberFormat="1" applyFont="1" applyFill="1" applyBorder="1" applyAlignment="1" applyProtection="1">
      <alignment horizontal="left" vertical="justify" indent="4"/>
    </xf>
    <xf numFmtId="168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left" vertical="center"/>
    </xf>
    <xf numFmtId="1" fontId="18" fillId="2" borderId="2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top"/>
    </xf>
    <xf numFmtId="168" fontId="19" fillId="2" borderId="0" xfId="0" applyNumberFormat="1" applyFont="1" applyFill="1" applyBorder="1" applyAlignment="1" applyProtection="1">
      <alignment horizontal="center" vertical="justify"/>
    </xf>
    <xf numFmtId="168" fontId="19" fillId="2" borderId="7" xfId="0" applyNumberFormat="1" applyFont="1" applyFill="1" applyBorder="1" applyAlignment="1" applyProtection="1">
      <alignment horizontal="center"/>
    </xf>
    <xf numFmtId="0" fontId="57" fillId="2" borderId="0" xfId="0" applyNumberFormat="1" applyFont="1" applyFill="1" applyBorder="1" applyProtection="1"/>
    <xf numFmtId="0" fontId="43" fillId="2" borderId="0" xfId="0" applyFont="1" applyFill="1" applyBorder="1" applyAlignment="1" applyProtection="1">
      <alignment horizontal="left" indent="1"/>
    </xf>
    <xf numFmtId="170" fontId="18" fillId="2" borderId="0" xfId="0" applyNumberFormat="1" applyFont="1" applyFill="1" applyBorder="1" applyAlignment="1" applyProtection="1"/>
    <xf numFmtId="171" fontId="25" fillId="2" borderId="0" xfId="0" applyNumberFormat="1" applyFont="1" applyFill="1" applyBorder="1" applyAlignment="1" applyProtection="1">
      <alignment vertical="top"/>
    </xf>
    <xf numFmtId="171" fontId="19" fillId="2" borderId="0" xfId="0" applyNumberFormat="1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NumberFormat="1" applyFont="1" applyFill="1" applyAlignment="1" applyProtection="1">
      <alignment horizontal="left" vertical="top" wrapText="1"/>
    </xf>
    <xf numFmtId="0" fontId="18" fillId="2" borderId="0" xfId="0" applyNumberFormat="1" applyFont="1" applyFill="1" applyAlignment="1" applyProtection="1">
      <alignment horizontal="left" vertical="top" wrapText="1"/>
    </xf>
    <xf numFmtId="3" fontId="52" fillId="14" borderId="16" xfId="7" applyNumberFormat="1" applyFont="1" applyFill="1" applyBorder="1" applyAlignment="1">
      <alignment horizontal="center"/>
    </xf>
    <xf numFmtId="3" fontId="52" fillId="14" borderId="5" xfId="7" applyNumberFormat="1" applyFont="1" applyFill="1" applyBorder="1" applyAlignment="1">
      <alignment horizontal="center"/>
    </xf>
    <xf numFmtId="3" fontId="52" fillId="14" borderId="13" xfId="7" applyNumberFormat="1" applyFont="1" applyFill="1" applyBorder="1" applyAlignment="1">
      <alignment horizontal="center"/>
    </xf>
    <xf numFmtId="171" fontId="3" fillId="3" borderId="20" xfId="0" applyNumberFormat="1" applyFont="1" applyFill="1" applyBorder="1" applyAlignment="1" applyProtection="1">
      <protection locked="0"/>
    </xf>
    <xf numFmtId="171" fontId="3" fillId="3" borderId="18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49" fontId="3" fillId="3" borderId="18" xfId="0" applyNumberFormat="1" applyFont="1" applyFill="1" applyBorder="1" applyAlignment="1" applyProtection="1">
      <protection locked="0"/>
    </xf>
    <xf numFmtId="10" fontId="2" fillId="2" borderId="19" xfId="0" applyNumberFormat="1" applyFont="1" applyFill="1" applyBorder="1" applyAlignment="1" applyProtection="1">
      <alignment horizontal="left"/>
      <protection hidden="1"/>
    </xf>
    <xf numFmtId="10" fontId="0" fillId="0" borderId="20" xfId="0" applyNumberFormat="1" applyBorder="1" applyAlignment="1" applyProtection="1">
      <alignment horizontal="left"/>
      <protection hidden="1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71" fontId="3" fillId="3" borderId="19" xfId="0" applyNumberFormat="1" applyFont="1" applyFill="1" applyBorder="1" applyAlignment="1" applyProtection="1">
      <protection locked="0"/>
    </xf>
    <xf numFmtId="171" fontId="3" fillId="2" borderId="20" xfId="0" applyNumberFormat="1" applyFont="1" applyFill="1" applyBorder="1" applyAlignment="1" applyProtection="1">
      <protection hidden="1"/>
    </xf>
    <xf numFmtId="171" fontId="3" fillId="2" borderId="18" xfId="0" applyNumberFormat="1" applyFont="1" applyFill="1" applyBorder="1" applyAlignment="1" applyProtection="1">
      <protection hidden="1"/>
    </xf>
    <xf numFmtId="0" fontId="3" fillId="3" borderId="19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2" borderId="19" xfId="0" applyFont="1" applyFill="1" applyBorder="1" applyAlignment="1" applyProtection="1">
      <alignment horizontal="left"/>
    </xf>
    <xf numFmtId="0" fontId="0" fillId="0" borderId="20" xfId="0" applyBorder="1" applyAlignment="1"/>
    <xf numFmtId="0" fontId="0" fillId="0" borderId="18" xfId="0" applyBorder="1" applyAlignment="1"/>
    <xf numFmtId="0" fontId="2" fillId="2" borderId="0" xfId="0" applyFont="1" applyFill="1" applyAlignment="1" applyProtection="1">
      <alignment horizontal="center"/>
    </xf>
    <xf numFmtId="0" fontId="3" fillId="3" borderId="17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171" fontId="3" fillId="2" borderId="17" xfId="0" applyNumberFormat="1" applyFont="1" applyFill="1" applyBorder="1" applyAlignment="1" applyProtection="1">
      <protection hidden="1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55" fillId="2" borderId="0" xfId="0" applyNumberFormat="1" applyFont="1" applyFill="1" applyBorder="1" applyAlignment="1" applyProtection="1">
      <alignment horizontal="center" vertical="top" wrapText="1"/>
    </xf>
    <xf numFmtId="0" fontId="19" fillId="2" borderId="0" xfId="0" applyNumberFormat="1" applyFont="1" applyFill="1" applyAlignment="1" applyProtection="1">
      <alignment horizontal="left" vertical="top" wrapText="1"/>
    </xf>
    <xf numFmtId="0" fontId="55" fillId="2" borderId="2" xfId="0" applyNumberFormat="1" applyFont="1" applyFill="1" applyBorder="1" applyAlignment="1" applyProtection="1">
      <alignment horizontal="center" vertical="top" wrapText="1"/>
    </xf>
    <xf numFmtId="0" fontId="54" fillId="2" borderId="4" xfId="0" applyNumberFormat="1" applyFont="1" applyFill="1" applyBorder="1" applyAlignment="1" applyProtection="1">
      <alignment horizontal="center" vertical="center" wrapText="1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54" fillId="2" borderId="5" xfId="0" applyNumberFormat="1" applyFont="1" applyFill="1" applyBorder="1" applyAlignment="1" applyProtection="1">
      <alignment horizontal="center" vertical="center" wrapText="1"/>
    </xf>
    <xf numFmtId="0" fontId="54" fillId="2" borderId="1" xfId="0" applyNumberFormat="1" applyFont="1" applyFill="1" applyBorder="1" applyAlignment="1" applyProtection="1">
      <alignment horizontal="center" wrapText="1"/>
    </xf>
    <xf numFmtId="0" fontId="54" fillId="2" borderId="2" xfId="0" applyNumberFormat="1" applyFont="1" applyFill="1" applyBorder="1" applyAlignment="1" applyProtection="1">
      <alignment horizontal="center" wrapText="1"/>
    </xf>
    <xf numFmtId="0" fontId="54" fillId="2" borderId="3" xfId="0" applyNumberFormat="1" applyFont="1" applyFill="1" applyBorder="1" applyAlignment="1" applyProtection="1">
      <alignment horizontal="center" wrapText="1"/>
    </xf>
    <xf numFmtId="0" fontId="54" fillId="2" borderId="4" xfId="0" applyNumberFormat="1" applyFont="1" applyFill="1" applyBorder="1" applyAlignment="1" applyProtection="1">
      <alignment horizontal="center" wrapText="1"/>
    </xf>
    <xf numFmtId="0" fontId="54" fillId="2" borderId="0" xfId="0" applyNumberFormat="1" applyFont="1" applyFill="1" applyBorder="1" applyAlignment="1" applyProtection="1">
      <alignment horizontal="center" wrapText="1"/>
    </xf>
    <xf numFmtId="0" fontId="54" fillId="2" borderId="5" xfId="0" applyNumberFormat="1" applyFont="1" applyFill="1" applyBorder="1" applyAlignment="1" applyProtection="1">
      <alignment horizontal="center" wrapText="1"/>
    </xf>
    <xf numFmtId="0" fontId="18" fillId="2" borderId="0" xfId="0" applyNumberFormat="1" applyFont="1" applyFill="1" applyAlignment="1" applyProtection="1">
      <alignment horizontal="left" vertical="top" wrapText="1"/>
    </xf>
    <xf numFmtId="0" fontId="25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 applyProtection="1">
      <alignment horizontal="left" vertical="top"/>
    </xf>
    <xf numFmtId="0" fontId="43" fillId="2" borderId="0" xfId="0" applyNumberFormat="1" applyFont="1" applyFill="1" applyAlignment="1" applyProtection="1">
      <alignment horizontal="left" vertical="top" wrapText="1"/>
    </xf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1" applyNumberFormat="1" applyFont="1" applyFill="1" applyBorder="1" applyAlignment="1" applyProtection="1">
      <alignment horizontal="right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53" fillId="2" borderId="0" xfId="0" applyFont="1" applyFill="1" applyBorder="1" applyAlignment="1" applyProtection="1">
      <alignment horizontal="center"/>
    </xf>
    <xf numFmtId="0" fontId="44" fillId="2" borderId="2" xfId="0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34" fillId="2" borderId="0" xfId="0" applyFont="1" applyFill="1" applyAlignment="1" applyProtection="1">
      <alignment horizontal="right" vertical="center"/>
    </xf>
    <xf numFmtId="0" fontId="45" fillId="2" borderId="2" xfId="0" applyFont="1" applyFill="1" applyBorder="1" applyAlignment="1" applyProtection="1">
      <alignment horizontal="left" vertical="top"/>
    </xf>
    <xf numFmtId="0" fontId="45" fillId="2" borderId="7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46" fillId="2" borderId="0" xfId="0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71" fontId="30" fillId="2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Alignment="1">
      <alignment horizontal="left" vertical="top"/>
    </xf>
    <xf numFmtId="0" fontId="45" fillId="2" borderId="0" xfId="0" applyFont="1" applyFill="1" applyBorder="1" applyAlignment="1" applyProtection="1">
      <alignment horizontal="center" vertical="center" wrapText="1"/>
    </xf>
    <xf numFmtId="0" fontId="45" fillId="2" borderId="7" xfId="0" applyFont="1" applyFill="1" applyBorder="1" applyAlignment="1" applyProtection="1">
      <alignment horizontal="center" vertical="center" wrapText="1"/>
    </xf>
    <xf numFmtId="14" fontId="18" fillId="3" borderId="19" xfId="0" applyNumberFormat="1" applyFont="1" applyFill="1" applyBorder="1" applyAlignment="1" applyProtection="1">
      <alignment horizontal="center"/>
      <protection locked="0"/>
    </xf>
    <xf numFmtId="14" fontId="18" fillId="3" borderId="20" xfId="0" applyNumberFormat="1" applyFont="1" applyFill="1" applyBorder="1" applyAlignment="1" applyProtection="1">
      <alignment horizontal="center"/>
      <protection locked="0"/>
    </xf>
    <xf numFmtId="14" fontId="18" fillId="3" borderId="18" xfId="0" applyNumberFormat="1" applyFont="1" applyFill="1" applyBorder="1" applyAlignment="1" applyProtection="1">
      <alignment horizontal="center"/>
      <protection locked="0"/>
    </xf>
    <xf numFmtId="49" fontId="18" fillId="3" borderId="19" xfId="0" applyNumberFormat="1" applyFont="1" applyFill="1" applyBorder="1" applyAlignment="1" applyProtection="1">
      <alignment horizontal="left" indent="1"/>
      <protection locked="0"/>
    </xf>
    <xf numFmtId="49" fontId="18" fillId="3" borderId="20" xfId="0" applyNumberFormat="1" applyFont="1" applyFill="1" applyBorder="1" applyAlignment="1" applyProtection="1">
      <alignment horizontal="left" indent="1"/>
      <protection locked="0"/>
    </xf>
    <xf numFmtId="49" fontId="18" fillId="3" borderId="18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/>
    </xf>
    <xf numFmtId="0" fontId="19" fillId="15" borderId="19" xfId="0" applyNumberFormat="1" applyFont="1" applyFill="1" applyBorder="1" applyAlignment="1" applyProtection="1">
      <alignment horizontal="center" vertical="center"/>
      <protection locked="0"/>
    </xf>
    <xf numFmtId="0" fontId="19" fillId="15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8" xfId="0" applyNumberFormat="1" applyFont="1" applyFill="1" applyBorder="1" applyAlignment="1" applyProtection="1">
      <alignment horizontal="center" vertical="center"/>
      <protection locked="0"/>
    </xf>
    <xf numFmtId="4" fontId="18" fillId="12" borderId="20" xfId="0" applyNumberFormat="1" applyFont="1" applyFill="1" applyBorder="1" applyAlignment="1" applyProtection="1">
      <alignment horizontal="left" vertical="center"/>
      <protection locked="0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35" fillId="0" borderId="1" xfId="0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alignment horizontal="left" vertical="top"/>
    </xf>
    <xf numFmtId="171" fontId="30" fillId="2" borderId="0" xfId="0" applyNumberFormat="1" applyFont="1" applyFill="1" applyBorder="1" applyAlignment="1" applyProtection="1">
      <alignment horizontal="left" vertical="center" wrapText="1"/>
      <protection hidden="1"/>
    </xf>
    <xf numFmtId="171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textRotation="180" wrapText="1"/>
    </xf>
    <xf numFmtId="0" fontId="0" fillId="0" borderId="0" xfId="0" applyAlignment="1">
      <alignment textRotation="180" wrapText="1"/>
    </xf>
    <xf numFmtId="171" fontId="18" fillId="2" borderId="0" xfId="0" applyNumberFormat="1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right" vertical="top" wrapText="1"/>
    </xf>
    <xf numFmtId="4" fontId="58" fillId="2" borderId="4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32" fillId="2" borderId="0" xfId="0" applyFont="1" applyFill="1" applyBorder="1" applyAlignment="1" applyProtection="1">
      <alignment horizontal="left" textRotation="180" wrapText="1"/>
    </xf>
    <xf numFmtId="0" fontId="32" fillId="0" borderId="0" xfId="0" applyFont="1" applyAlignment="1" applyProtection="1">
      <alignment textRotation="180" wrapText="1"/>
    </xf>
    <xf numFmtId="0" fontId="18" fillId="12" borderId="20" xfId="0" applyFont="1" applyFill="1" applyBorder="1" applyAlignment="1" applyProtection="1">
      <alignment horizontal="left" vertical="center"/>
      <protection locked="0"/>
    </xf>
    <xf numFmtId="0" fontId="18" fillId="12" borderId="18" xfId="0" applyFont="1" applyFill="1" applyBorder="1" applyAlignment="1" applyProtection="1">
      <alignment horizontal="left" vertical="center"/>
      <protection locked="0"/>
    </xf>
    <xf numFmtId="167" fontId="10" fillId="0" borderId="0" xfId="0" applyNumberFormat="1" applyFont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44" fillId="2" borderId="0" xfId="0" applyFont="1" applyFill="1" applyAlignment="1" applyProtection="1">
      <alignment horizontal="left" indent="1"/>
    </xf>
    <xf numFmtId="0" fontId="19" fillId="15" borderId="19" xfId="0" applyNumberFormat="1" applyFont="1" applyFill="1" applyBorder="1" applyAlignment="1" applyProtection="1">
      <alignment horizontal="center"/>
      <protection locked="0"/>
    </xf>
    <xf numFmtId="0" fontId="19" fillId="15" borderId="20" xfId="0" applyNumberFormat="1" applyFont="1" applyFill="1" applyBorder="1" applyAlignment="1" applyProtection="1">
      <alignment horizontal="center"/>
      <protection locked="0"/>
    </xf>
    <xf numFmtId="0" fontId="19" fillId="15" borderId="18" xfId="0" applyNumberFormat="1" applyFont="1" applyFill="1" applyBorder="1" applyAlignment="1" applyProtection="1">
      <alignment horizontal="center"/>
      <protection locked="0"/>
    </xf>
    <xf numFmtId="0" fontId="46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right" vertical="center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indent="1"/>
      <protection locked="0"/>
    </xf>
    <xf numFmtId="0" fontId="18" fillId="3" borderId="2" xfId="0" applyFont="1" applyFill="1" applyBorder="1" applyAlignment="1" applyProtection="1">
      <alignment horizontal="left" indent="1"/>
      <protection locked="0"/>
    </xf>
    <xf numFmtId="0" fontId="18" fillId="3" borderId="3" xfId="0" applyFont="1" applyFill="1" applyBorder="1" applyAlignment="1" applyProtection="1">
      <alignment horizontal="left" indent="1"/>
      <protection locked="0"/>
    </xf>
    <xf numFmtId="0" fontId="18" fillId="3" borderId="6" xfId="0" applyFont="1" applyFill="1" applyBorder="1" applyAlignment="1" applyProtection="1">
      <alignment horizontal="left" indent="1"/>
      <protection locked="0"/>
    </xf>
    <xf numFmtId="0" fontId="18" fillId="3" borderId="7" xfId="0" applyFont="1" applyFill="1" applyBorder="1" applyAlignment="1" applyProtection="1">
      <alignment horizontal="left" indent="1"/>
      <protection locked="0"/>
    </xf>
    <xf numFmtId="0" fontId="18" fillId="3" borderId="16" xfId="0" applyFont="1" applyFill="1" applyBorder="1" applyAlignment="1" applyProtection="1">
      <alignment horizontal="left" indent="1"/>
      <protection locked="0"/>
    </xf>
    <xf numFmtId="171" fontId="25" fillId="0" borderId="8" xfId="0" applyNumberFormat="1" applyFont="1" applyFill="1" applyBorder="1" applyAlignment="1" applyProtection="1">
      <alignment horizontal="center" vertical="center"/>
      <protection locked="0"/>
    </xf>
    <xf numFmtId="171" fontId="25" fillId="0" borderId="10" xfId="0" applyNumberFormat="1" applyFont="1" applyFill="1" applyBorder="1" applyAlignment="1" applyProtection="1">
      <alignment horizontal="center" vertical="center"/>
      <protection locked="0"/>
    </xf>
    <xf numFmtId="171" fontId="36" fillId="2" borderId="0" xfId="0" applyNumberFormat="1" applyFont="1" applyFill="1" applyBorder="1" applyAlignment="1" applyProtection="1">
      <alignment horizontal="left" vertical="top" wrapText="1"/>
      <protection hidden="1"/>
    </xf>
    <xf numFmtId="0" fontId="30" fillId="2" borderId="0" xfId="0" applyFont="1" applyFill="1" applyAlignment="1" applyProtection="1">
      <alignment horizontal="center"/>
      <protection hidden="1"/>
    </xf>
    <xf numFmtId="4" fontId="18" fillId="12" borderId="20" xfId="0" applyNumberFormat="1" applyFont="1" applyFill="1" applyBorder="1" applyAlignment="1" applyProtection="1">
      <alignment horizontal="center" vertical="center"/>
      <protection locked="0"/>
    </xf>
    <xf numFmtId="4" fontId="18" fillId="12" borderId="18" xfId="0" applyNumberFormat="1" applyFont="1" applyFill="1" applyBorder="1" applyAlignment="1" applyProtection="1">
      <alignment horizontal="center" vertical="center"/>
      <protection locked="0"/>
    </xf>
    <xf numFmtId="0" fontId="18" fillId="12" borderId="19" xfId="0" applyFont="1" applyFill="1" applyBorder="1" applyAlignment="1" applyProtection="1">
      <alignment horizontal="center"/>
      <protection locked="0"/>
    </xf>
    <xf numFmtId="0" fontId="18" fillId="12" borderId="20" xfId="0" applyFont="1" applyFill="1" applyBorder="1" applyAlignment="1" applyProtection="1">
      <alignment horizontal="center"/>
      <protection locked="0"/>
    </xf>
    <xf numFmtId="171" fontId="18" fillId="2" borderId="0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textRotation="180" wrapText="1"/>
    </xf>
    <xf numFmtId="0" fontId="18" fillId="2" borderId="0" xfId="0" applyFont="1" applyFill="1" applyAlignment="1" applyProtection="1">
      <alignment horizontal="left" vertical="center"/>
    </xf>
    <xf numFmtId="0" fontId="56" fillId="2" borderId="0" xfId="0" applyFont="1" applyFill="1" applyBorder="1" applyAlignment="1" applyProtection="1">
      <alignment horizontal="center" vertical="center" wrapText="1"/>
    </xf>
    <xf numFmtId="0" fontId="56" fillId="2" borderId="7" xfId="0" applyFont="1" applyFill="1" applyBorder="1" applyAlignment="1" applyProtection="1">
      <alignment horizontal="center" vertical="center" wrapText="1"/>
    </xf>
    <xf numFmtId="0" fontId="46" fillId="2" borderId="0" xfId="0" applyFont="1" applyFill="1" applyAlignment="1" applyProtection="1">
      <alignment horizontal="center" vertical="top"/>
    </xf>
    <xf numFmtId="0" fontId="45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horizontal="center"/>
    </xf>
    <xf numFmtId="0" fontId="18" fillId="12" borderId="18" xfId="0" applyFont="1" applyFill="1" applyBorder="1" applyAlignment="1" applyProtection="1">
      <alignment horizontal="center"/>
      <protection locked="0"/>
    </xf>
    <xf numFmtId="0" fontId="18" fillId="12" borderId="19" xfId="0" applyFont="1" applyFill="1" applyBorder="1" applyAlignment="1" applyProtection="1">
      <alignment horizontal="left" vertical="center" indent="1"/>
      <protection locked="0"/>
    </xf>
    <xf numFmtId="0" fontId="18" fillId="12" borderId="20" xfId="0" applyFont="1" applyFill="1" applyBorder="1" applyAlignment="1" applyProtection="1">
      <alignment horizontal="left" vertical="center" indent="1"/>
      <protection locked="0"/>
    </xf>
    <xf numFmtId="0" fontId="27" fillId="2" borderId="0" xfId="0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left" vertical="top" wrapText="1"/>
      <protection locked="0"/>
    </xf>
    <xf numFmtId="0" fontId="43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</cellXfs>
  <cellStyles count="11">
    <cellStyle name="Komma" xfId="1" builtinId="3"/>
    <cellStyle name="Komma 2" xfId="2"/>
    <cellStyle name="Komma_lønninger" xfId="3"/>
    <cellStyle name="Link 2" xfId="4"/>
    <cellStyle name="Normal" xfId="0" builtinId="0"/>
    <cellStyle name="Normal 2" xfId="5"/>
    <cellStyle name="Normal_lønninger" xfId="6"/>
    <cellStyle name="Normal_lønninger_1" xfId="7"/>
    <cellStyle name="Normal_Puljebelastning" xfId="8"/>
    <cellStyle name="Procent" xfId="9" builtinId="5"/>
    <cellStyle name="Procent 2" xfId="1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1</xdr:col>
      <xdr:colOff>762000</xdr:colOff>
      <xdr:row>11</xdr:row>
      <xdr:rowOff>9525</xdr:rowOff>
    </xdr:to>
    <xdr:sp macro="[0]!UdskrivPuljebelastning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962025"/>
          <a:ext cx="1323975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Udskriv puljebelastning</a:t>
          </a:r>
        </a:p>
        <a:p>
          <a:pPr algn="ctr" rtl="0">
            <a:lnSpc>
              <a:spcPts val="10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Tryk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177"/>
  <sheetViews>
    <sheetView topLeftCell="A106" zoomScaleSheetLayoutView="85" workbookViewId="0">
      <selection activeCell="F152" sqref="F152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2" style="100" customWidth="1"/>
    <col min="4" max="4" width="6.5" style="100" customWidth="1"/>
    <col min="5" max="7" width="13.83203125" style="100" customWidth="1"/>
    <col min="8" max="8" width="2.83203125" style="100" customWidth="1"/>
    <col min="9" max="9" width="5.83203125" style="100" customWidth="1"/>
    <col min="10" max="10" width="4.5" style="100" customWidth="1"/>
    <col min="11" max="11" width="15" style="100" hidden="1" customWidth="1"/>
    <col min="12" max="12" width="9.33203125" style="100" hidden="1" customWidth="1"/>
    <col min="13" max="16384" width="9.33203125" style="100"/>
  </cols>
  <sheetData>
    <row r="1" spans="1:12" ht="12.75" customHeight="1" x14ac:dyDescent="0.2">
      <c r="A1" s="110" t="s">
        <v>10</v>
      </c>
      <c r="F1" s="208" t="s">
        <v>0</v>
      </c>
      <c r="G1" s="292"/>
    </row>
    <row r="2" spans="1:12" ht="12.75" customHeight="1" x14ac:dyDescent="0.2">
      <c r="A2" s="110" t="s">
        <v>384</v>
      </c>
    </row>
    <row r="3" spans="1:12" ht="12.75" customHeight="1" x14ac:dyDescent="0.2">
      <c r="A3" s="650" t="s">
        <v>386</v>
      </c>
      <c r="B3" s="650"/>
      <c r="C3" s="650"/>
      <c r="D3" s="650"/>
      <c r="E3" s="650"/>
      <c r="F3" s="650"/>
      <c r="G3" s="650"/>
    </row>
    <row r="4" spans="1:12" ht="12.75" customHeight="1" x14ac:dyDescent="0.2"/>
    <row r="5" spans="1:12" ht="12.75" customHeight="1" x14ac:dyDescent="0.2">
      <c r="A5" s="101">
        <v>1</v>
      </c>
      <c r="B5" s="102" t="s">
        <v>94</v>
      </c>
      <c r="C5" s="651"/>
      <c r="D5" s="651"/>
      <c r="E5" s="651"/>
      <c r="F5" s="651"/>
      <c r="G5" s="651"/>
    </row>
    <row r="6" spans="1:12" ht="12.75" customHeight="1" x14ac:dyDescent="0.2">
      <c r="A6" s="101">
        <v>2</v>
      </c>
      <c r="B6" s="102" t="s">
        <v>88</v>
      </c>
      <c r="C6" s="652"/>
      <c r="D6" s="652"/>
      <c r="E6" s="652"/>
      <c r="F6" s="652"/>
      <c r="G6" s="652"/>
    </row>
    <row r="7" spans="1:12" ht="12.75" customHeight="1" x14ac:dyDescent="0.2">
      <c r="A7" s="101">
        <v>3</v>
      </c>
      <c r="B7" s="102" t="s">
        <v>89</v>
      </c>
      <c r="C7" s="651"/>
      <c r="D7" s="651"/>
      <c r="E7" s="651"/>
      <c r="F7" s="651"/>
      <c r="G7" s="651"/>
    </row>
    <row r="8" spans="1:12" ht="12.75" customHeight="1" x14ac:dyDescent="0.2">
      <c r="A8" s="101">
        <v>4</v>
      </c>
      <c r="B8" s="102" t="s">
        <v>56</v>
      </c>
      <c r="C8" s="224">
        <f>C9/MAX(C10,1)</f>
        <v>1</v>
      </c>
      <c r="D8" s="103"/>
      <c r="E8" s="103"/>
      <c r="F8" s="103"/>
      <c r="G8" s="105"/>
    </row>
    <row r="9" spans="1:12" ht="12.75" customHeight="1" x14ac:dyDescent="0.2">
      <c r="A9" s="225" t="s">
        <v>160</v>
      </c>
      <c r="B9" s="102" t="s">
        <v>96</v>
      </c>
      <c r="C9" s="98">
        <v>37</v>
      </c>
      <c r="D9" s="198"/>
      <c r="E9" s="112"/>
      <c r="F9" s="112"/>
      <c r="G9" s="105"/>
    </row>
    <row r="10" spans="1:12" ht="12.75" customHeight="1" x14ac:dyDescent="0.2">
      <c r="A10" s="101" t="s">
        <v>161</v>
      </c>
      <c r="B10" s="102" t="s">
        <v>97</v>
      </c>
      <c r="C10" s="98">
        <v>37</v>
      </c>
      <c r="D10" s="106"/>
      <c r="E10" s="107"/>
      <c r="F10" s="107"/>
      <c r="G10" s="131"/>
    </row>
    <row r="11" spans="1:12" ht="12.75" customHeight="1" x14ac:dyDescent="0.2">
      <c r="A11" s="101">
        <v>5</v>
      </c>
      <c r="B11" s="102" t="s">
        <v>233</v>
      </c>
      <c r="C11" s="651"/>
      <c r="D11" s="651"/>
      <c r="E11" s="651"/>
      <c r="F11" s="651"/>
      <c r="G11" s="651"/>
    </row>
    <row r="12" spans="1:12" ht="12.75" customHeight="1" x14ac:dyDescent="0.2">
      <c r="A12" s="101">
        <v>6</v>
      </c>
      <c r="B12" s="102" t="s">
        <v>151</v>
      </c>
      <c r="C12" s="652"/>
      <c r="D12" s="652"/>
      <c r="E12" s="106"/>
      <c r="F12" s="107"/>
      <c r="G12" s="108"/>
    </row>
    <row r="13" spans="1:12" ht="12.75" customHeight="1" x14ac:dyDescent="0.2">
      <c r="A13" s="101">
        <v>7</v>
      </c>
      <c r="B13" s="102" t="s">
        <v>12</v>
      </c>
      <c r="C13" s="98"/>
      <c r="D13" s="653" t="e">
        <f>VLOOKUP(C13,tabeloverenskomstnr,3,1)</f>
        <v>#N/A</v>
      </c>
      <c r="E13" s="653"/>
      <c r="F13" s="653"/>
      <c r="G13" s="653"/>
    </row>
    <row r="14" spans="1:12" ht="12.75" customHeight="1" x14ac:dyDescent="0.2">
      <c r="A14" s="101">
        <v>8</v>
      </c>
      <c r="B14" s="102" t="s">
        <v>93</v>
      </c>
      <c r="C14" s="651"/>
      <c r="D14" s="651"/>
      <c r="E14" s="106"/>
      <c r="F14" s="107"/>
      <c r="G14" s="108"/>
    </row>
    <row r="15" spans="1:12" ht="12.75" customHeight="1" x14ac:dyDescent="0.2">
      <c r="A15" s="101">
        <v>9</v>
      </c>
      <c r="B15" s="242" t="str">
        <f>IF(OR(C15&lt;0,C15&gt;5),"Fejl! Lønkode skal være 0 - 5","Lønkode")</f>
        <v>Lønkode</v>
      </c>
      <c r="C15" s="98">
        <v>0</v>
      </c>
      <c r="D15" s="295" t="s">
        <v>323</v>
      </c>
      <c r="E15" s="112"/>
      <c r="F15" s="112"/>
      <c r="G15" s="134"/>
      <c r="K15" s="100" t="s">
        <v>273</v>
      </c>
      <c r="L15" s="100">
        <f>VLOOKUP(LønkodeRåd1,TabelPctReg,2)</f>
        <v>34.464599999999997</v>
      </c>
    </row>
    <row r="16" spans="1:12" ht="12.75" customHeight="1" x14ac:dyDescent="0.2">
      <c r="A16" s="101"/>
      <c r="B16" s="242"/>
      <c r="C16" s="242"/>
      <c r="D16" s="296" t="s">
        <v>324</v>
      </c>
      <c r="E16" s="275"/>
      <c r="F16" s="275"/>
      <c r="G16" s="132"/>
    </row>
    <row r="17" spans="1:12" ht="12.75" customHeight="1" x14ac:dyDescent="0.2">
      <c r="A17" s="101">
        <v>10</v>
      </c>
      <c r="B17" s="242" t="s">
        <v>270</v>
      </c>
      <c r="C17" s="98"/>
      <c r="D17" s="635" t="s">
        <v>266</v>
      </c>
      <c r="E17" s="636"/>
      <c r="F17" s="107"/>
      <c r="G17" s="108"/>
      <c r="K17" s="252"/>
      <c r="L17" s="252"/>
    </row>
    <row r="18" spans="1:12" ht="12.75" customHeight="1" x14ac:dyDescent="0.2">
      <c r="A18" s="103"/>
      <c r="B18" s="82"/>
      <c r="C18" s="103"/>
      <c r="D18" s="103"/>
      <c r="E18" s="103"/>
      <c r="F18" s="103"/>
      <c r="G18" s="103"/>
    </row>
    <row r="19" spans="1:12" ht="12.75" customHeight="1" x14ac:dyDescent="0.2">
      <c r="A19" s="111"/>
      <c r="B19" s="112"/>
      <c r="C19" s="228" t="s">
        <v>162</v>
      </c>
      <c r="D19" s="228" t="s">
        <v>2</v>
      </c>
      <c r="E19" s="228" t="s">
        <v>234</v>
      </c>
      <c r="F19" s="229" t="s">
        <v>235</v>
      </c>
      <c r="G19" s="115"/>
    </row>
    <row r="20" spans="1:12" ht="12.75" customHeight="1" x14ac:dyDescent="0.2">
      <c r="A20" s="115"/>
      <c r="B20" s="103"/>
      <c r="C20" s="230" t="s">
        <v>163</v>
      </c>
      <c r="D20" s="230"/>
      <c r="E20" s="230"/>
      <c r="F20" s="231"/>
      <c r="G20" s="115"/>
    </row>
    <row r="21" spans="1:12" ht="12.75" customHeight="1" x14ac:dyDescent="0.2">
      <c r="A21" s="115"/>
      <c r="B21" s="103"/>
      <c r="C21" s="243">
        <f>VLOOKUP(LønkodeRåd1,TabelPctReg,3)</f>
        <v>36616</v>
      </c>
      <c r="D21" s="232"/>
      <c r="E21" s="243">
        <f>Dato1</f>
        <v>42736</v>
      </c>
      <c r="F21" s="243">
        <f>Dato1</f>
        <v>42736</v>
      </c>
      <c r="G21" s="203"/>
    </row>
    <row r="22" spans="1:12" ht="12.75" customHeight="1" x14ac:dyDescent="0.2">
      <c r="A22" s="101">
        <v>11</v>
      </c>
      <c r="B22" s="242" t="s">
        <v>4</v>
      </c>
      <c r="C22" s="199"/>
      <c r="D22" s="98"/>
      <c r="E22" s="117">
        <f>ROUND(VLOOKUP(D22,TabelLøn,StartKolonneRåd1,1)*BeskGradRåd1,2)+ROUND(C22/12*BeskGradRåd1*(1+PctRegRåd1%),2)</f>
        <v>0</v>
      </c>
      <c r="F22" s="202">
        <f>E22*12</f>
        <v>0</v>
      </c>
      <c r="G22" s="206"/>
    </row>
    <row r="23" spans="1:12" ht="12.75" customHeight="1" x14ac:dyDescent="0.2">
      <c r="A23" s="101">
        <v>12</v>
      </c>
      <c r="B23" s="102" t="s">
        <v>145</v>
      </c>
      <c r="C23" s="116"/>
      <c r="D23" s="102"/>
      <c r="E23" s="117"/>
      <c r="F23" s="133"/>
      <c r="G23" s="206"/>
    </row>
    <row r="24" spans="1:12" ht="12.75" customHeight="1" x14ac:dyDescent="0.2">
      <c r="A24" s="101"/>
      <c r="B24" s="102" t="s">
        <v>251</v>
      </c>
      <c r="C24" s="116"/>
      <c r="D24" s="98"/>
      <c r="E24" s="117">
        <f>ROUND((VLOOKUP($D$22+D24,TabelLøn,StartKolonneRåd1,1)-VLOOKUP($D$22,TabelLøn,StartKolonneRåd1,1))*BeskGradRåd1,2)</f>
        <v>0</v>
      </c>
      <c r="F24" s="202">
        <f>E24*12</f>
        <v>0</v>
      </c>
      <c r="G24" s="300"/>
    </row>
    <row r="25" spans="1:12" ht="12.75" customHeight="1" x14ac:dyDescent="0.2">
      <c r="A25" s="101"/>
      <c r="B25" s="102" t="s">
        <v>252</v>
      </c>
      <c r="C25" s="199"/>
      <c r="D25" s="104"/>
      <c r="E25" s="117">
        <f>ROUND(C25/12*BeskGradRåd1*(1+PctRegRåd1%),2)</f>
        <v>0</v>
      </c>
      <c r="F25" s="202">
        <f>E25*12</f>
        <v>0</v>
      </c>
      <c r="G25" s="206"/>
    </row>
    <row r="26" spans="1:12" ht="12.75" customHeight="1" x14ac:dyDescent="0.2">
      <c r="A26" s="101"/>
      <c r="B26" s="102" t="s">
        <v>253</v>
      </c>
      <c r="C26" s="116"/>
      <c r="D26" s="98"/>
      <c r="E26" s="117">
        <f>ROUND((VLOOKUP($D$22+D24+D26,TabelLøn,StartKolonneRåd1,1)-VLOOKUP($D$22+D24,TabelLøn,StartKolonneRåd1,1))*BeskGradRåd1,2)</f>
        <v>0</v>
      </c>
      <c r="F26" s="202">
        <f>E26*12</f>
        <v>0</v>
      </c>
      <c r="G26" s="300"/>
    </row>
    <row r="27" spans="1:12" ht="12.75" customHeight="1" x14ac:dyDescent="0.2">
      <c r="A27" s="101"/>
      <c r="B27" s="102" t="s">
        <v>254</v>
      </c>
      <c r="C27" s="199"/>
      <c r="D27" s="102"/>
      <c r="E27" s="117">
        <f>ROUND(C27/12*BeskGradRåd1*(1+PctRegRåd1%),2)</f>
        <v>0</v>
      </c>
      <c r="F27" s="202">
        <f>E27*12</f>
        <v>0</v>
      </c>
      <c r="G27" s="206"/>
    </row>
    <row r="28" spans="1:12" ht="12.75" customHeight="1" x14ac:dyDescent="0.2">
      <c r="A28" s="101"/>
      <c r="B28" s="102" t="s">
        <v>250</v>
      </c>
      <c r="C28" s="199"/>
      <c r="D28" s="102"/>
      <c r="E28" s="117">
        <f>ROUND(C28/12*BeskGradRåd1*(1+PctRegRåd1%),2)</f>
        <v>0</v>
      </c>
      <c r="F28" s="202">
        <f>E28*12</f>
        <v>0</v>
      </c>
      <c r="G28" s="206"/>
    </row>
    <row r="29" spans="1:12" ht="12.75" customHeight="1" x14ac:dyDescent="0.2">
      <c r="A29" s="101">
        <v>13</v>
      </c>
      <c r="B29" s="102" t="s">
        <v>146</v>
      </c>
      <c r="C29" s="116"/>
      <c r="D29" s="104"/>
      <c r="E29" s="117"/>
      <c r="F29" s="133"/>
      <c r="G29" s="206"/>
    </row>
    <row r="30" spans="1:12" ht="12.75" customHeight="1" x14ac:dyDescent="0.2">
      <c r="A30" s="101"/>
      <c r="B30" s="102" t="s">
        <v>251</v>
      </c>
      <c r="C30" s="116"/>
      <c r="D30" s="98"/>
      <c r="E30" s="117">
        <f>ROUND((VLOOKUP($D$22+D24+D26+D30,TabelLøn,StartKolonneRåd1,1)-VLOOKUP($D$22+D24+D26,TabelLøn,StartKolonneRåd1,1))*BeskGradRåd1,2)</f>
        <v>0</v>
      </c>
      <c r="F30" s="202">
        <f>E30*12</f>
        <v>0</v>
      </c>
      <c r="G30" s="206"/>
    </row>
    <row r="31" spans="1:12" ht="12.75" customHeight="1" x14ac:dyDescent="0.2">
      <c r="A31" s="104"/>
      <c r="B31" s="102" t="s">
        <v>252</v>
      </c>
      <c r="C31" s="199"/>
      <c r="D31" s="104"/>
      <c r="E31" s="117">
        <f>ROUND(C31/12*BeskGradRåd1*(1+PctRegRåd1%),2)</f>
        <v>0</v>
      </c>
      <c r="F31" s="202">
        <f>E31*12</f>
        <v>0</v>
      </c>
      <c r="G31" s="206"/>
    </row>
    <row r="32" spans="1:12" ht="12.75" customHeight="1" x14ac:dyDescent="0.2">
      <c r="A32" s="101"/>
      <c r="B32" s="102" t="s">
        <v>253</v>
      </c>
      <c r="C32" s="116"/>
      <c r="D32" s="98"/>
      <c r="E32" s="117">
        <f>ROUND((VLOOKUP(SUM($D$22:D32),TabelLøn,StartKolonneRåd1,1)-VLOOKUP(SUM($D$22:D30),TabelLøn,StartKolonneRåd1,1))*BeskGradRåd1,2)</f>
        <v>0</v>
      </c>
      <c r="F32" s="202">
        <f>E32*12</f>
        <v>0</v>
      </c>
      <c r="G32" s="206"/>
    </row>
    <row r="33" spans="1:12" ht="12.75" customHeight="1" x14ac:dyDescent="0.2">
      <c r="A33" s="101"/>
      <c r="B33" s="102" t="s">
        <v>254</v>
      </c>
      <c r="C33" s="199"/>
      <c r="D33" s="104"/>
      <c r="E33" s="117">
        <f>ROUND(C33/12*BeskGradRåd1*(1+PctRegRåd1%),2)</f>
        <v>0</v>
      </c>
      <c r="F33" s="202">
        <f>E33*12</f>
        <v>0</v>
      </c>
      <c r="G33" s="206"/>
    </row>
    <row r="34" spans="1:12" ht="12.75" customHeight="1" x14ac:dyDescent="0.2">
      <c r="A34" s="101"/>
      <c r="B34" s="102" t="s">
        <v>250</v>
      </c>
      <c r="C34" s="199"/>
      <c r="D34" s="102"/>
      <c r="E34" s="117">
        <f>ROUND(C34/12*BeskGradRåd1*(1+PctRegRåd1%),2)</f>
        <v>0</v>
      </c>
      <c r="F34" s="202">
        <f>E34*12</f>
        <v>0</v>
      </c>
      <c r="G34" s="206"/>
    </row>
    <row r="35" spans="1:12" ht="12.75" customHeight="1" x14ac:dyDescent="0.2">
      <c r="A35" s="101">
        <v>14</v>
      </c>
      <c r="B35" s="102" t="s">
        <v>13</v>
      </c>
      <c r="C35" s="116"/>
      <c r="D35" s="104"/>
      <c r="E35" s="117"/>
      <c r="F35" s="133"/>
      <c r="G35" s="207"/>
    </row>
    <row r="36" spans="1:12" ht="12.75" customHeight="1" x14ac:dyDescent="0.2">
      <c r="A36" s="104"/>
      <c r="B36" s="102" t="s">
        <v>255</v>
      </c>
      <c r="C36" s="199"/>
      <c r="D36" s="104"/>
      <c r="E36" s="117">
        <f>ROUND(C36/12*BeskGradRåd1*(1+PctRegRåd1%),2)</f>
        <v>0</v>
      </c>
      <c r="F36" s="202">
        <f>E36*12</f>
        <v>0</v>
      </c>
      <c r="G36" s="207"/>
    </row>
    <row r="37" spans="1:12" ht="12.75" customHeight="1" x14ac:dyDescent="0.2">
      <c r="A37" s="104"/>
      <c r="B37" s="102" t="s">
        <v>250</v>
      </c>
      <c r="C37" s="199"/>
      <c r="D37" s="104"/>
      <c r="E37" s="117">
        <f>ROUND(C37/12*BeskGradRåd1*(1+PctRegRåd1%),2)</f>
        <v>0</v>
      </c>
      <c r="F37" s="202">
        <f>E37*12</f>
        <v>0</v>
      </c>
      <c r="G37" s="207"/>
    </row>
    <row r="38" spans="1:12" ht="12.75" customHeight="1" x14ac:dyDescent="0.2">
      <c r="A38" s="101">
        <v>15</v>
      </c>
      <c r="B38" s="102" t="s">
        <v>6</v>
      </c>
      <c r="C38" s="116"/>
      <c r="D38" s="104"/>
      <c r="E38" s="117"/>
      <c r="F38" s="133"/>
      <c r="G38" s="206"/>
    </row>
    <row r="39" spans="1:12" ht="12.75" customHeight="1" x14ac:dyDescent="0.2">
      <c r="A39" s="101">
        <v>16</v>
      </c>
      <c r="B39" s="242" t="str">
        <f>IF(AND(C39&lt;&gt;0,D39&lt;&gt;0),"Fejl! Udfyld ENTEN kr.beløb ELLER Trin","Overgangstillæg/trin pensionsgivende")</f>
        <v>Overgangstillæg/trin pensionsgivende</v>
      </c>
      <c r="C39" s="201"/>
      <c r="D39" s="98"/>
      <c r="E39" s="117">
        <f>ROUND((VLOOKUP(SUM($D$22:D39),TabelLøn,StartKolonneRåd1,1)-VLOOKUP(SUM($D$22:D36),TabelLøn,StartKolonneRåd1,1))*BeskGradRåd1,2)+ROUND(C39/12*BeskGradRåd1*(1+PctRegRåd1%),2)</f>
        <v>0</v>
      </c>
      <c r="F39" s="202">
        <f>E39*12</f>
        <v>0</v>
      </c>
      <c r="G39" s="206"/>
      <c r="K39" s="252"/>
      <c r="L39" s="252"/>
    </row>
    <row r="40" spans="1:12" ht="12.75" customHeight="1" x14ac:dyDescent="0.2">
      <c r="A40" s="101"/>
      <c r="B40" s="242" t="s">
        <v>256</v>
      </c>
      <c r="C40" s="201"/>
      <c r="D40" s="104"/>
      <c r="E40" s="117">
        <f>ROUND(C40/12*BeskGradRåd1*(1+PctRegRåd1%),2)</f>
        <v>0</v>
      </c>
      <c r="F40" s="202">
        <f>E40*12</f>
        <v>0</v>
      </c>
      <c r="G40" s="206"/>
      <c r="K40" s="252"/>
      <c r="L40" s="252"/>
    </row>
    <row r="41" spans="1:12" ht="12.75" customHeight="1" x14ac:dyDescent="0.2">
      <c r="A41" s="101"/>
      <c r="B41" s="256" t="s">
        <v>249</v>
      </c>
      <c r="C41" s="205">
        <f>SUM(C22:C40)</f>
        <v>0</v>
      </c>
      <c r="D41" s="257">
        <f>SUM(D22:D40)</f>
        <v>0</v>
      </c>
      <c r="E41" s="205">
        <f>SUM(E22:E40)</f>
        <v>0</v>
      </c>
      <c r="F41" s="205">
        <f>SUM(F22:F40)</f>
        <v>0</v>
      </c>
      <c r="G41" s="206"/>
      <c r="K41" s="252" t="s">
        <v>236</v>
      </c>
      <c r="L41" s="252" t="s">
        <v>22</v>
      </c>
    </row>
    <row r="42" spans="1:12" ht="12.75" customHeight="1" x14ac:dyDescent="0.2">
      <c r="A42" s="101">
        <v>17</v>
      </c>
      <c r="B42" s="102" t="s">
        <v>239</v>
      </c>
      <c r="C42" s="116"/>
      <c r="D42" s="104"/>
      <c r="E42" s="117">
        <f>ROUND(VLOOKUP(D44,TabelLønninger,VLOOKUP(LønkodeRåd1,TabelPensgivLøn,2))*Pensionsprocentafgang/100/12*BeskGradRåd1,2)+L42</f>
        <v>0</v>
      </c>
      <c r="F42" s="202">
        <f>E42*12</f>
        <v>0</v>
      </c>
      <c r="G42" s="206"/>
      <c r="K42" s="117">
        <f>C41-C28-C34-C37-C40</f>
        <v>0</v>
      </c>
      <c r="L42" s="117">
        <f>ROUND(K42/12*BeskGradRåd1*(1+PctRegRåd1%)*Pensionsprocentafgang/100,2)</f>
        <v>0</v>
      </c>
    </row>
    <row r="43" spans="1:12" ht="12.75" customHeight="1" x14ac:dyDescent="0.2">
      <c r="A43" s="125">
        <v>18</v>
      </c>
      <c r="B43" s="113" t="s">
        <v>237</v>
      </c>
      <c r="C43" s="121"/>
      <c r="D43" s="254"/>
      <c r="E43" s="127"/>
      <c r="F43" s="253"/>
      <c r="G43" s="206"/>
      <c r="K43" s="222"/>
      <c r="L43" s="222"/>
    </row>
    <row r="44" spans="1:12" ht="12.75" customHeight="1" x14ac:dyDescent="0.2">
      <c r="A44" s="255"/>
      <c r="B44" s="256" t="s">
        <v>238</v>
      </c>
      <c r="C44" s="205">
        <f>SUM(C41:C42)</f>
        <v>0</v>
      </c>
      <c r="D44" s="257">
        <f>SUM(D41:D42)</f>
        <v>0</v>
      </c>
      <c r="E44" s="205">
        <f>SUM(E41:E42)</f>
        <v>0</v>
      </c>
      <c r="F44" s="258">
        <f>SUM(F41:F42)</f>
        <v>0</v>
      </c>
      <c r="G44" s="206"/>
      <c r="L44" s="222"/>
    </row>
    <row r="45" spans="1:12" ht="12.75" customHeight="1" x14ac:dyDescent="0.2">
      <c r="A45" s="120">
        <v>19</v>
      </c>
      <c r="B45" s="113" t="s">
        <v>232</v>
      </c>
      <c r="C45" s="121"/>
      <c r="D45" s="121"/>
      <c r="E45" s="127"/>
      <c r="F45" s="204"/>
      <c r="G45" s="206"/>
      <c r="L45" s="222"/>
    </row>
    <row r="46" spans="1:12" ht="12.75" customHeight="1" x14ac:dyDescent="0.2">
      <c r="A46" s="122"/>
      <c r="B46" s="256" t="s">
        <v>238</v>
      </c>
      <c r="C46" s="129">
        <f>C104</f>
        <v>0</v>
      </c>
      <c r="D46" s="124">
        <f>D104</f>
        <v>0</v>
      </c>
      <c r="E46" s="129">
        <f>E104</f>
        <v>0</v>
      </c>
      <c r="F46" s="129">
        <f>F104</f>
        <v>0</v>
      </c>
      <c r="G46" s="206"/>
    </row>
    <row r="47" spans="1:12" ht="12.75" customHeight="1" x14ac:dyDescent="0.2">
      <c r="A47" s="125">
        <v>20</v>
      </c>
      <c r="B47" s="114" t="s">
        <v>240</v>
      </c>
      <c r="C47" s="127"/>
      <c r="D47" s="126"/>
      <c r="E47" s="127"/>
      <c r="F47" s="128"/>
      <c r="G47" s="206"/>
    </row>
    <row r="48" spans="1:12" ht="12.75" customHeight="1" x14ac:dyDescent="0.2">
      <c r="A48" s="122"/>
      <c r="B48" s="256" t="s">
        <v>238</v>
      </c>
      <c r="C48" s="123">
        <f>C44-C46</f>
        <v>0</v>
      </c>
      <c r="D48" s="259">
        <f>D44-D46</f>
        <v>0</v>
      </c>
      <c r="E48" s="123">
        <f>E44-E46</f>
        <v>0</v>
      </c>
      <c r="F48" s="123">
        <f>F44-F46</f>
        <v>0</v>
      </c>
      <c r="G48" s="206"/>
    </row>
    <row r="49" spans="1:7" ht="12.75" customHeight="1" x14ac:dyDescent="0.2">
      <c r="A49" s="125">
        <v>21</v>
      </c>
      <c r="B49" s="130" t="s">
        <v>242</v>
      </c>
      <c r="C49" s="109" t="s">
        <v>8</v>
      </c>
      <c r="D49" s="130"/>
      <c r="E49" s="130"/>
      <c r="F49" s="108"/>
      <c r="G49" s="260"/>
    </row>
    <row r="50" spans="1:7" ht="12.75" customHeight="1" x14ac:dyDescent="0.2">
      <c r="A50" s="122"/>
      <c r="B50" s="267"/>
      <c r="C50" s="261"/>
      <c r="D50" s="262"/>
      <c r="E50" s="263"/>
      <c r="F50" s="264"/>
      <c r="G50" s="260"/>
    </row>
    <row r="51" spans="1:7" ht="12.75" customHeight="1" x14ac:dyDescent="0.2">
      <c r="A51" s="255"/>
      <c r="B51" s="268"/>
      <c r="C51" s="266"/>
      <c r="D51" s="265"/>
      <c r="E51" s="265"/>
      <c r="F51" s="132"/>
    </row>
    <row r="52" spans="1:7" ht="12.75" customHeight="1" x14ac:dyDescent="0.2">
      <c r="A52" s="221"/>
      <c r="B52" s="82"/>
      <c r="C52" s="82"/>
      <c r="D52" s="82"/>
      <c r="E52" s="82"/>
      <c r="F52" s="103"/>
    </row>
    <row r="53" spans="1:7" ht="12.75" customHeight="1" x14ac:dyDescent="0.2">
      <c r="A53" s="647" t="s">
        <v>213</v>
      </c>
      <c r="B53" s="648"/>
      <c r="C53" s="648"/>
      <c r="D53" s="648"/>
      <c r="E53" s="648"/>
      <c r="F53" s="648"/>
      <c r="G53" s="649"/>
    </row>
    <row r="54" spans="1:7" ht="12.75" customHeight="1" x14ac:dyDescent="0.2">
      <c r="A54" s="630"/>
      <c r="B54" s="631"/>
      <c r="C54" s="631"/>
      <c r="D54" s="631"/>
      <c r="E54" s="631"/>
      <c r="F54" s="631"/>
      <c r="G54" s="632"/>
    </row>
    <row r="55" spans="1:7" ht="12.75" customHeight="1" x14ac:dyDescent="0.2">
      <c r="A55" s="627"/>
      <c r="B55" s="628"/>
      <c r="C55" s="628"/>
      <c r="D55" s="628"/>
      <c r="E55" s="628"/>
      <c r="F55" s="628"/>
      <c r="G55" s="629"/>
    </row>
    <row r="56" spans="1:7" ht="12.75" customHeight="1" x14ac:dyDescent="0.2">
      <c r="A56" s="627"/>
      <c r="B56" s="628"/>
      <c r="C56" s="628"/>
      <c r="D56" s="628"/>
      <c r="E56" s="628"/>
      <c r="F56" s="628"/>
      <c r="G56" s="629"/>
    </row>
    <row r="57" spans="1:7" ht="12.75" customHeight="1" x14ac:dyDescent="0.2">
      <c r="A57" s="627"/>
      <c r="B57" s="628"/>
      <c r="C57" s="628"/>
      <c r="D57" s="628"/>
      <c r="E57" s="628"/>
      <c r="F57" s="628"/>
      <c r="G57" s="629"/>
    </row>
    <row r="58" spans="1:7" ht="12.75" customHeight="1" x14ac:dyDescent="0.2">
      <c r="A58" s="627"/>
      <c r="B58" s="628"/>
      <c r="C58" s="628"/>
      <c r="D58" s="628"/>
      <c r="E58" s="628"/>
      <c r="F58" s="628"/>
      <c r="G58" s="629"/>
    </row>
    <row r="59" spans="1:7" ht="12.75" customHeight="1" x14ac:dyDescent="0.2">
      <c r="A59" s="644"/>
      <c r="B59" s="645"/>
      <c r="C59" s="645"/>
      <c r="D59" s="645"/>
      <c r="E59" s="645"/>
      <c r="F59" s="645"/>
      <c r="G59" s="646"/>
    </row>
    <row r="60" spans="1:7" ht="12.75" customHeight="1" x14ac:dyDescent="0.2"/>
    <row r="61" spans="1:7" ht="12.75" customHeight="1" x14ac:dyDescent="0.2">
      <c r="A61" s="110" t="s">
        <v>10</v>
      </c>
      <c r="F61" s="208" t="s">
        <v>0</v>
      </c>
      <c r="G61" s="209"/>
    </row>
    <row r="62" spans="1:7" ht="12.75" customHeight="1" x14ac:dyDescent="0.2">
      <c r="A62" s="110" t="s">
        <v>384</v>
      </c>
    </row>
    <row r="63" spans="1:7" ht="12.75" customHeight="1" x14ac:dyDescent="0.2">
      <c r="A63" s="650" t="s">
        <v>385</v>
      </c>
      <c r="B63" s="650"/>
      <c r="C63" s="650"/>
      <c r="D63" s="650"/>
      <c r="E63" s="650"/>
      <c r="F63" s="650"/>
      <c r="G63" s="650"/>
    </row>
    <row r="64" spans="1:7" ht="12.75" customHeight="1" x14ac:dyDescent="0.2">
      <c r="A64" s="110"/>
      <c r="D64" s="110"/>
      <c r="E64" s="110"/>
    </row>
    <row r="65" spans="1:12" ht="12.75" customHeight="1" x14ac:dyDescent="0.2">
      <c r="A65" s="101">
        <v>1</v>
      </c>
      <c r="B65" s="102" t="s">
        <v>66</v>
      </c>
      <c r="C65" s="656"/>
      <c r="D65" s="656"/>
      <c r="E65" s="656"/>
      <c r="F65" s="656"/>
      <c r="G65" s="643"/>
    </row>
    <row r="66" spans="1:12" ht="12.75" customHeight="1" x14ac:dyDescent="0.2">
      <c r="A66" s="101"/>
      <c r="B66" s="102" t="s">
        <v>152</v>
      </c>
      <c r="C66" s="656"/>
      <c r="D66" s="656"/>
      <c r="E66" s="656"/>
      <c r="F66" s="656"/>
      <c r="G66" s="643"/>
    </row>
    <row r="67" spans="1:12" ht="12.75" customHeight="1" x14ac:dyDescent="0.2">
      <c r="A67" s="101"/>
      <c r="B67" s="102" t="s">
        <v>153</v>
      </c>
      <c r="C67" s="211"/>
      <c r="D67" s="642"/>
      <c r="E67" s="654"/>
      <c r="F67" s="654"/>
      <c r="G67" s="655"/>
    </row>
    <row r="68" spans="1:12" ht="12.75" customHeight="1" x14ac:dyDescent="0.2">
      <c r="A68" s="101">
        <v>2</v>
      </c>
      <c r="B68" s="102" t="s">
        <v>88</v>
      </c>
      <c r="C68" s="633"/>
      <c r="D68" s="633"/>
      <c r="E68" s="633"/>
      <c r="F68" s="633"/>
      <c r="G68" s="634"/>
    </row>
    <row r="69" spans="1:12" ht="12.75" customHeight="1" x14ac:dyDescent="0.2">
      <c r="A69" s="101">
        <v>3</v>
      </c>
      <c r="B69" s="102" t="s">
        <v>89</v>
      </c>
      <c r="C69" s="625">
        <f>C7</f>
        <v>0</v>
      </c>
      <c r="D69" s="625"/>
      <c r="E69" s="625"/>
      <c r="F69" s="625"/>
      <c r="G69" s="626"/>
    </row>
    <row r="70" spans="1:12" ht="12.75" customHeight="1" x14ac:dyDescent="0.2">
      <c r="A70" s="101">
        <v>4</v>
      </c>
      <c r="B70" s="102" t="s">
        <v>56</v>
      </c>
      <c r="C70" s="224">
        <f>C71/MAX(C72,1)</f>
        <v>1</v>
      </c>
      <c r="D70" s="107"/>
      <c r="E70" s="107"/>
      <c r="F70" s="107"/>
      <c r="G70" s="131"/>
    </row>
    <row r="71" spans="1:12" ht="12.75" customHeight="1" x14ac:dyDescent="0.2">
      <c r="A71" s="101" t="s">
        <v>160</v>
      </c>
      <c r="B71" s="102" t="s">
        <v>90</v>
      </c>
      <c r="C71" s="98">
        <v>37</v>
      </c>
      <c r="D71" s="107"/>
      <c r="E71" s="107"/>
      <c r="F71" s="107"/>
      <c r="G71" s="131"/>
    </row>
    <row r="72" spans="1:12" ht="12.75" customHeight="1" x14ac:dyDescent="0.2">
      <c r="A72" s="101" t="s">
        <v>161</v>
      </c>
      <c r="B72" s="102" t="s">
        <v>91</v>
      </c>
      <c r="C72" s="98">
        <v>37</v>
      </c>
      <c r="D72" s="107"/>
      <c r="E72" s="107"/>
      <c r="F72" s="107"/>
      <c r="G72" s="131"/>
    </row>
    <row r="73" spans="1:12" ht="12.75" customHeight="1" x14ac:dyDescent="0.2">
      <c r="A73" s="101">
        <v>5</v>
      </c>
      <c r="B73" s="102" t="s">
        <v>233</v>
      </c>
      <c r="C73" s="625">
        <f>C11</f>
        <v>0</v>
      </c>
      <c r="D73" s="625"/>
      <c r="E73" s="625"/>
      <c r="F73" s="625"/>
      <c r="G73" s="626"/>
    </row>
    <row r="74" spans="1:12" ht="12.75" customHeight="1" x14ac:dyDescent="0.2">
      <c r="A74" s="101">
        <v>6</v>
      </c>
      <c r="B74" s="102" t="s">
        <v>151</v>
      </c>
      <c r="C74" s="639">
        <f>C12</f>
        <v>0</v>
      </c>
      <c r="D74" s="626"/>
      <c r="E74" s="107"/>
      <c r="F74" s="107"/>
      <c r="G74" s="108"/>
    </row>
    <row r="75" spans="1:12" ht="12.75" customHeight="1" x14ac:dyDescent="0.2">
      <c r="A75" s="101">
        <v>7</v>
      </c>
      <c r="B75" s="102" t="s">
        <v>12</v>
      </c>
      <c r="C75" s="240"/>
      <c r="D75" s="640" t="e">
        <f>VLOOKUP(C75,tabeloverenskomstnr,3,1)</f>
        <v>#N/A</v>
      </c>
      <c r="E75" s="640"/>
      <c r="F75" s="640"/>
      <c r="G75" s="641"/>
    </row>
    <row r="76" spans="1:12" ht="12.75" customHeight="1" x14ac:dyDescent="0.2">
      <c r="A76" s="101">
        <v>8</v>
      </c>
      <c r="B76" s="102" t="s">
        <v>95</v>
      </c>
      <c r="C76" s="642"/>
      <c r="D76" s="643"/>
      <c r="E76" s="107"/>
      <c r="F76" s="107"/>
      <c r="G76" s="108"/>
    </row>
    <row r="77" spans="1:12" ht="12.75" customHeight="1" x14ac:dyDescent="0.2">
      <c r="A77" s="223">
        <v>9</v>
      </c>
      <c r="B77" s="242" t="str">
        <f>IF(OR(C77&lt;0,C77&gt;5),"Fejl! Lønkode skal være 0 - 5","Lønkode")</f>
        <v>Lønkode</v>
      </c>
      <c r="C77" s="98"/>
      <c r="D77" s="111" t="s">
        <v>299</v>
      </c>
      <c r="E77" s="112"/>
      <c r="F77" s="112"/>
      <c r="G77" s="134"/>
      <c r="K77" s="100" t="s">
        <v>273</v>
      </c>
      <c r="L77" s="100">
        <f>VLOOKUP(LønkodeRåd2,TabelPctReg,2)</f>
        <v>34.464599999999997</v>
      </c>
    </row>
    <row r="78" spans="1:12" ht="12.75" customHeight="1" x14ac:dyDescent="0.2">
      <c r="A78" s="101"/>
      <c r="B78" s="242"/>
      <c r="C78" s="242"/>
      <c r="D78" s="266" t="s">
        <v>300</v>
      </c>
      <c r="E78" s="275"/>
      <c r="F78" s="275"/>
      <c r="G78" s="132"/>
    </row>
    <row r="79" spans="1:12" ht="12.75" customHeight="1" x14ac:dyDescent="0.2">
      <c r="A79" s="101">
        <v>10</v>
      </c>
      <c r="B79" s="242" t="s">
        <v>270</v>
      </c>
      <c r="C79" s="98"/>
      <c r="D79" s="635" t="s">
        <v>266</v>
      </c>
      <c r="E79" s="636"/>
      <c r="F79" s="107"/>
      <c r="G79" s="108"/>
      <c r="K79" s="252"/>
      <c r="L79" s="252"/>
    </row>
    <row r="80" spans="1:12" ht="12.75" customHeight="1" x14ac:dyDescent="0.2"/>
    <row r="81" spans="1:6" ht="12.75" customHeight="1" x14ac:dyDescent="0.2">
      <c r="A81" s="82" t="s">
        <v>78</v>
      </c>
    </row>
    <row r="82" spans="1:6" ht="12.75" customHeight="1" x14ac:dyDescent="0.2"/>
    <row r="83" spans="1:6" ht="12.75" customHeight="1" x14ac:dyDescent="0.2">
      <c r="A83" s="111"/>
      <c r="B83" s="112"/>
      <c r="C83" s="228" t="s">
        <v>162</v>
      </c>
      <c r="D83" s="228" t="s">
        <v>1</v>
      </c>
      <c r="E83" s="228" t="s">
        <v>234</v>
      </c>
      <c r="F83" s="228" t="s">
        <v>235</v>
      </c>
    </row>
    <row r="84" spans="1:6" ht="12.75" customHeight="1" x14ac:dyDescent="0.2">
      <c r="A84" s="115"/>
      <c r="B84" s="103"/>
      <c r="C84" s="182" t="s">
        <v>163</v>
      </c>
      <c r="D84" s="230"/>
      <c r="E84" s="230"/>
      <c r="F84" s="230"/>
    </row>
    <row r="85" spans="1:6" ht="12.75" customHeight="1" x14ac:dyDescent="0.2">
      <c r="A85" s="115"/>
      <c r="B85" s="103"/>
      <c r="C85" s="243">
        <f>VLOOKUP(LønkodeRåd2,TabelPctReg,3)</f>
        <v>36616</v>
      </c>
      <c r="D85" s="230"/>
      <c r="E85" s="244">
        <f>Dato1</f>
        <v>42736</v>
      </c>
      <c r="F85" s="244">
        <f>Dato1</f>
        <v>42736</v>
      </c>
    </row>
    <row r="86" spans="1:6" ht="12.75" customHeight="1" x14ac:dyDescent="0.2">
      <c r="A86" s="101">
        <v>11</v>
      </c>
      <c r="B86" s="242" t="s">
        <v>4</v>
      </c>
      <c r="C86" s="199"/>
      <c r="D86" s="98"/>
      <c r="E86" s="117">
        <f>ROUND(VLOOKUP(D86,TabelLøn,StartKolonneRåd2,1)*BeskGradRåd2,2)+ROUND(C86/12*BeskGradRåd2*(1+PctRegRåd2%),2)</f>
        <v>0</v>
      </c>
      <c r="F86" s="202">
        <f>E86*12</f>
        <v>0</v>
      </c>
    </row>
    <row r="87" spans="1:6" ht="12.75" customHeight="1" x14ac:dyDescent="0.2">
      <c r="A87" s="101">
        <v>12</v>
      </c>
      <c r="B87" s="130" t="s">
        <v>145</v>
      </c>
      <c r="C87" s="116"/>
      <c r="D87" s="104"/>
      <c r="E87" s="117"/>
      <c r="F87" s="118"/>
    </row>
    <row r="88" spans="1:6" ht="12.75" customHeight="1" x14ac:dyDescent="0.2">
      <c r="A88" s="102"/>
      <c r="B88" s="102" t="s">
        <v>251</v>
      </c>
      <c r="C88" s="116"/>
      <c r="D88" s="98"/>
      <c r="E88" s="117">
        <f>ROUND((VLOOKUP($D$86+D88,TabelLøn,StartKolonneRåd2,1)-VLOOKUP($D$86,TabelLøn,StartKolonneRåd2,1))*BeskGradRåd2,2)</f>
        <v>0</v>
      </c>
      <c r="F88" s="202">
        <f>E88*12</f>
        <v>0</v>
      </c>
    </row>
    <row r="89" spans="1:6" ht="12.75" customHeight="1" x14ac:dyDescent="0.2">
      <c r="A89" s="104"/>
      <c r="B89" s="102" t="s">
        <v>252</v>
      </c>
      <c r="C89" s="199"/>
      <c r="D89" s="104"/>
      <c r="E89" s="117">
        <f>ROUND(C89/12*BeskGradRåd2*(1+PctRegRåd2%),2)</f>
        <v>0</v>
      </c>
      <c r="F89" s="202">
        <f>E89*12</f>
        <v>0</v>
      </c>
    </row>
    <row r="90" spans="1:6" ht="12.75" customHeight="1" x14ac:dyDescent="0.2">
      <c r="A90" s="101"/>
      <c r="B90" s="102" t="s">
        <v>253</v>
      </c>
      <c r="C90" s="116"/>
      <c r="D90" s="98"/>
      <c r="E90" s="117">
        <f>ROUND((VLOOKUP($D$86+D88+D90,TabelLøn,StartKolonneRåd2,1)-VLOOKUP($D$86+D88,TabelLøn,StartKolonneRåd2,1))*BeskGradRåd2,2)</f>
        <v>0</v>
      </c>
      <c r="F90" s="202">
        <f>E90*12</f>
        <v>0</v>
      </c>
    </row>
    <row r="91" spans="1:6" ht="12.75" customHeight="1" x14ac:dyDescent="0.2">
      <c r="A91" s="106"/>
      <c r="B91" s="102" t="s">
        <v>254</v>
      </c>
      <c r="C91" s="199"/>
      <c r="D91" s="104"/>
      <c r="E91" s="117">
        <f>ROUND(C91/12*BeskGradRåd2*(1+PctRegRåd2%),2)</f>
        <v>0</v>
      </c>
      <c r="F91" s="202">
        <f>E91*12</f>
        <v>0</v>
      </c>
    </row>
    <row r="92" spans="1:6" ht="12.75" customHeight="1" x14ac:dyDescent="0.2">
      <c r="A92" s="106"/>
      <c r="B92" s="102" t="s">
        <v>250</v>
      </c>
      <c r="C92" s="199"/>
      <c r="D92" s="104"/>
      <c r="E92" s="117">
        <f>ROUND(C92/12*BeskGradRåd2*(1+PctRegRåd2%),2)</f>
        <v>0</v>
      </c>
      <c r="F92" s="202">
        <f>E92*12</f>
        <v>0</v>
      </c>
    </row>
    <row r="93" spans="1:6" ht="12.75" customHeight="1" x14ac:dyDescent="0.2">
      <c r="A93" s="223">
        <v>13</v>
      </c>
      <c r="B93" s="102" t="s">
        <v>146</v>
      </c>
      <c r="C93" s="116"/>
      <c r="D93" s="102"/>
      <c r="E93" s="136"/>
      <c r="F93" s="137"/>
    </row>
    <row r="94" spans="1:6" ht="12.75" customHeight="1" x14ac:dyDescent="0.2">
      <c r="A94" s="101"/>
      <c r="B94" s="102" t="s">
        <v>251</v>
      </c>
      <c r="C94" s="116"/>
      <c r="D94" s="98"/>
      <c r="E94" s="117">
        <f>ROUND((VLOOKUP($D$86+D88+D90+D94,TabelLøn,StartKolonneRåd2,1)-VLOOKUP($D$86+D88+D90,TabelLøn,StartKolonneRåd2,1))*BeskGradRåd2,2)</f>
        <v>0</v>
      </c>
      <c r="F94" s="202">
        <f>E94*12</f>
        <v>0</v>
      </c>
    </row>
    <row r="95" spans="1:6" ht="12.75" customHeight="1" x14ac:dyDescent="0.2">
      <c r="A95" s="104"/>
      <c r="B95" s="102" t="s">
        <v>252</v>
      </c>
      <c r="C95" s="199"/>
      <c r="D95" s="104"/>
      <c r="E95" s="117">
        <f>ROUND(C95/12*BeskGradRåd2*(1+PctRegRåd2%),2)</f>
        <v>0</v>
      </c>
      <c r="F95" s="202">
        <f>E95*12</f>
        <v>0</v>
      </c>
    </row>
    <row r="96" spans="1:6" ht="12.75" customHeight="1" x14ac:dyDescent="0.2">
      <c r="A96" s="101"/>
      <c r="B96" s="102" t="s">
        <v>253</v>
      </c>
      <c r="C96" s="116"/>
      <c r="D96" s="98"/>
      <c r="E96" s="117">
        <f>ROUND((VLOOKUP(SUM($D$86:D96),TabelLøn,StartKolonneRåd2,1)-VLOOKUP(SUM($D$86:D94),TabelLøn,StartKolonneRåd2,1))*BeskGradRåd2,2)</f>
        <v>0</v>
      </c>
      <c r="F96" s="202">
        <f>E96*12</f>
        <v>0</v>
      </c>
    </row>
    <row r="97" spans="1:12" ht="12.75" customHeight="1" x14ac:dyDescent="0.2">
      <c r="A97" s="104"/>
      <c r="B97" s="102" t="s">
        <v>254</v>
      </c>
      <c r="C97" s="199"/>
      <c r="D97" s="104"/>
      <c r="E97" s="117">
        <f>ROUND(C97/12*BeskGradRåd2*(1+PctRegRåd2%),2)</f>
        <v>0</v>
      </c>
      <c r="F97" s="202">
        <f>E97*12</f>
        <v>0</v>
      </c>
    </row>
    <row r="98" spans="1:12" ht="12.75" customHeight="1" x14ac:dyDescent="0.2">
      <c r="A98" s="104"/>
      <c r="B98" s="102" t="s">
        <v>250</v>
      </c>
      <c r="C98" s="199"/>
      <c r="D98" s="104"/>
      <c r="E98" s="117">
        <f>ROUND(C98/12*BeskGradRåd2*(1+PctRegRåd2%),2)</f>
        <v>0</v>
      </c>
      <c r="F98" s="202">
        <f>E98*12</f>
        <v>0</v>
      </c>
    </row>
    <row r="99" spans="1:12" ht="12.75" customHeight="1" x14ac:dyDescent="0.2">
      <c r="A99" s="101">
        <v>14</v>
      </c>
      <c r="B99" s="109" t="s">
        <v>13</v>
      </c>
      <c r="C99" s="116"/>
      <c r="D99" s="104"/>
      <c r="E99" s="117"/>
      <c r="F99" s="118"/>
    </row>
    <row r="100" spans="1:12" ht="12.75" customHeight="1" x14ac:dyDescent="0.2">
      <c r="A100" s="101"/>
      <c r="B100" s="109" t="s">
        <v>255</v>
      </c>
      <c r="C100" s="199"/>
      <c r="D100" s="104"/>
      <c r="E100" s="117">
        <f>ROUND(C100/12*BeskGradRåd2*(1+PctRegRåd2%),2)</f>
        <v>0</v>
      </c>
      <c r="F100" s="202">
        <f>E100*12</f>
        <v>0</v>
      </c>
    </row>
    <row r="101" spans="1:12" ht="12.75" customHeight="1" x14ac:dyDescent="0.2">
      <c r="A101" s="104"/>
      <c r="B101" s="109" t="s">
        <v>250</v>
      </c>
      <c r="C101" s="199"/>
      <c r="D101" s="104"/>
      <c r="E101" s="117">
        <f>ROUND(C101/12*BeskGradRåd2*(1+PctRegRåd2%),2)</f>
        <v>0</v>
      </c>
      <c r="F101" s="202">
        <f>E101*12</f>
        <v>0</v>
      </c>
      <c r="K101" s="252"/>
      <c r="L101" s="252"/>
    </row>
    <row r="102" spans="1:12" ht="12.75" customHeight="1" x14ac:dyDescent="0.2">
      <c r="A102" s="104"/>
      <c r="B102" s="256" t="s">
        <v>249</v>
      </c>
      <c r="C102" s="117">
        <f>SUM(C86:C101)</f>
        <v>0</v>
      </c>
      <c r="D102" s="119">
        <f>SUM(D86:D101)</f>
        <v>0</v>
      </c>
      <c r="E102" s="117">
        <f>SUM(E86:E101)</f>
        <v>0</v>
      </c>
      <c r="F102" s="117">
        <f>SUM(F86:F101)</f>
        <v>0</v>
      </c>
      <c r="K102" s="252" t="s">
        <v>236</v>
      </c>
      <c r="L102" s="252" t="s">
        <v>22</v>
      </c>
    </row>
    <row r="103" spans="1:12" ht="12.75" customHeight="1" x14ac:dyDescent="0.2">
      <c r="A103" s="101">
        <v>15</v>
      </c>
      <c r="B103" s="102" t="s">
        <v>239</v>
      </c>
      <c r="C103" s="116"/>
      <c r="D103" s="104"/>
      <c r="E103" s="117">
        <f>ROUND(VLOOKUP(D104,TabelLønninger,VLOOKUP(LønkodeRåd2,TabelPensgivLøn,2))*PensionsProcentTilgang/100/12*BeskGradRåd2,2)+L103</f>
        <v>0</v>
      </c>
      <c r="F103" s="202">
        <f>E103*12</f>
        <v>0</v>
      </c>
      <c r="K103" s="117">
        <f>C102-C92-C98-C101</f>
        <v>0</v>
      </c>
      <c r="L103" s="117">
        <f>ROUND(K103/12*BeskGradRåd2*(1+PctRegRåd2%)*PensionsProcentTilgang/100,2)</f>
        <v>0</v>
      </c>
    </row>
    <row r="104" spans="1:12" ht="12.75" customHeight="1" x14ac:dyDescent="0.2">
      <c r="A104" s="101">
        <v>16</v>
      </c>
      <c r="B104" s="256" t="s">
        <v>246</v>
      </c>
      <c r="C104" s="117">
        <f>SUM(C102:C103)</f>
        <v>0</v>
      </c>
      <c r="D104" s="119">
        <f>SUM(D102:D103)</f>
        <v>0</v>
      </c>
      <c r="E104" s="117">
        <f>SUM(E102:E103)</f>
        <v>0</v>
      </c>
      <c r="F104" s="117">
        <f>SUM(F102:F103)</f>
        <v>0</v>
      </c>
    </row>
    <row r="105" spans="1:12" ht="12.75" customHeight="1" x14ac:dyDescent="0.2"/>
    <row r="106" spans="1:12" ht="12.75" customHeight="1" x14ac:dyDescent="0.2">
      <c r="A106" s="647" t="s">
        <v>213</v>
      </c>
      <c r="B106" s="648"/>
      <c r="C106" s="648"/>
      <c r="D106" s="648"/>
      <c r="E106" s="648"/>
      <c r="F106" s="648"/>
      <c r="G106" s="649"/>
    </row>
    <row r="107" spans="1:12" ht="12.75" customHeight="1" x14ac:dyDescent="0.2">
      <c r="A107" s="630"/>
      <c r="B107" s="631"/>
      <c r="C107" s="631"/>
      <c r="D107" s="631"/>
      <c r="E107" s="631"/>
      <c r="F107" s="631"/>
      <c r="G107" s="632"/>
    </row>
    <row r="108" spans="1:12" ht="12.75" customHeight="1" x14ac:dyDescent="0.2">
      <c r="A108" s="627"/>
      <c r="B108" s="628"/>
      <c r="C108" s="628"/>
      <c r="D108" s="628"/>
      <c r="E108" s="628"/>
      <c r="F108" s="628"/>
      <c r="G108" s="629"/>
    </row>
    <row r="109" spans="1:12" ht="12.75" customHeight="1" x14ac:dyDescent="0.2">
      <c r="A109" s="627"/>
      <c r="B109" s="628"/>
      <c r="C109" s="628"/>
      <c r="D109" s="628"/>
      <c r="E109" s="628"/>
      <c r="F109" s="628"/>
      <c r="G109" s="629"/>
    </row>
    <row r="110" spans="1:12" ht="12.75" customHeight="1" x14ac:dyDescent="0.2">
      <c r="A110" s="627"/>
      <c r="B110" s="628"/>
      <c r="C110" s="628"/>
      <c r="D110" s="628"/>
      <c r="E110" s="628"/>
      <c r="F110" s="628"/>
      <c r="G110" s="629"/>
    </row>
    <row r="111" spans="1:12" ht="12.75" customHeight="1" x14ac:dyDescent="0.2">
      <c r="A111" s="627"/>
      <c r="B111" s="628"/>
      <c r="C111" s="628"/>
      <c r="D111" s="628"/>
      <c r="E111" s="628"/>
      <c r="F111" s="628"/>
      <c r="G111" s="629"/>
    </row>
    <row r="112" spans="1:12" ht="12.75" customHeight="1" x14ac:dyDescent="0.2">
      <c r="A112" s="644"/>
      <c r="B112" s="645"/>
      <c r="C112" s="645"/>
      <c r="D112" s="645"/>
      <c r="E112" s="645"/>
      <c r="F112" s="645"/>
      <c r="G112" s="646"/>
    </row>
    <row r="113" spans="1:7" ht="12.75" customHeight="1" x14ac:dyDescent="0.2"/>
    <row r="114" spans="1:7" ht="12.75" customHeight="1" x14ac:dyDescent="0.2">
      <c r="A114" s="110" t="s">
        <v>154</v>
      </c>
    </row>
    <row r="115" spans="1:7" ht="12.75" customHeight="1" x14ac:dyDescent="0.2">
      <c r="A115" s="100" t="s">
        <v>155</v>
      </c>
    </row>
    <row r="116" spans="1:7" ht="12.75" customHeight="1" x14ac:dyDescent="0.2">
      <c r="A116" s="100" t="s">
        <v>14</v>
      </c>
    </row>
    <row r="117" spans="1:7" ht="12.75" customHeight="1" x14ac:dyDescent="0.2"/>
    <row r="118" spans="1:7" ht="12.75" customHeight="1" x14ac:dyDescent="0.2">
      <c r="A118" s="110" t="s">
        <v>241</v>
      </c>
    </row>
    <row r="119" spans="1:7" ht="12.75" customHeight="1" x14ac:dyDescent="0.2">
      <c r="A119" s="106" t="s">
        <v>9</v>
      </c>
      <c r="B119" s="210"/>
      <c r="C119" s="107" t="s">
        <v>9</v>
      </c>
      <c r="D119" s="637"/>
      <c r="E119" s="638"/>
      <c r="F119" s="106" t="s">
        <v>9</v>
      </c>
      <c r="G119" s="210"/>
    </row>
    <row r="120" spans="1:7" ht="12.75" customHeight="1" x14ac:dyDescent="0.2">
      <c r="A120" s="138"/>
      <c r="B120" s="139"/>
      <c r="C120" s="103"/>
      <c r="D120" s="103"/>
      <c r="E120" s="103"/>
      <c r="F120" s="138"/>
      <c r="G120" s="139"/>
    </row>
    <row r="121" spans="1:7" ht="12.75" customHeight="1" x14ac:dyDescent="0.2">
      <c r="A121" s="138"/>
      <c r="B121" s="139"/>
      <c r="C121" s="103"/>
      <c r="D121" s="103"/>
      <c r="E121" s="103"/>
      <c r="F121" s="138"/>
      <c r="G121" s="139"/>
    </row>
    <row r="122" spans="1:7" ht="12.75" customHeight="1" x14ac:dyDescent="0.2">
      <c r="A122" s="109" t="s">
        <v>15</v>
      </c>
      <c r="B122" s="108"/>
      <c r="C122" s="130" t="s">
        <v>16</v>
      </c>
      <c r="D122" s="130"/>
      <c r="E122" s="107"/>
      <c r="F122" s="109" t="s">
        <v>17</v>
      </c>
      <c r="G122" s="140"/>
    </row>
    <row r="123" spans="1:7" ht="12.75" customHeight="1" x14ac:dyDescent="0.2"/>
    <row r="124" spans="1:7" ht="12.75" customHeight="1" x14ac:dyDescent="0.2">
      <c r="A124" s="110" t="s">
        <v>297</v>
      </c>
    </row>
    <row r="125" spans="1:7" ht="12.75" customHeight="1" x14ac:dyDescent="0.2"/>
    <row r="126" spans="1:7" ht="12.75" customHeight="1" x14ac:dyDescent="0.2"/>
    <row r="127" spans="1:7" ht="12.75" customHeight="1" x14ac:dyDescent="0.2">
      <c r="A127" s="101" t="s">
        <v>66</v>
      </c>
      <c r="B127" s="245">
        <f>C65</f>
        <v>0</v>
      </c>
    </row>
    <row r="128" spans="1:7" ht="12.75" customHeight="1" x14ac:dyDescent="0.2"/>
    <row r="129" spans="1:5" ht="12.75" customHeight="1" x14ac:dyDescent="0.25">
      <c r="A129" s="141" t="s">
        <v>81</v>
      </c>
      <c r="B129" s="141"/>
      <c r="C129" s="141"/>
      <c r="D129" s="142"/>
      <c r="E129" s="142"/>
    </row>
    <row r="130" spans="1:5" ht="12.75" customHeight="1" x14ac:dyDescent="0.2">
      <c r="A130" s="142"/>
      <c r="B130" s="142"/>
      <c r="C130" s="142"/>
      <c r="D130" s="142"/>
      <c r="E130" s="142"/>
    </row>
    <row r="131" spans="1:5" ht="12.75" customHeight="1" x14ac:dyDescent="0.25">
      <c r="A131" s="183" t="s">
        <v>82</v>
      </c>
      <c r="B131" s="186"/>
      <c r="C131" s="233" t="s">
        <v>162</v>
      </c>
      <c r="D131" s="233" t="s">
        <v>1</v>
      </c>
      <c r="E131" s="142"/>
    </row>
    <row r="132" spans="1:5" ht="12.75" customHeight="1" x14ac:dyDescent="0.25">
      <c r="A132" s="226"/>
      <c r="B132" s="227"/>
      <c r="C132" s="234" t="s">
        <v>163</v>
      </c>
      <c r="D132" s="234"/>
      <c r="E132" s="142"/>
    </row>
    <row r="133" spans="1:5" ht="12.75" customHeight="1" x14ac:dyDescent="0.25">
      <c r="A133" s="184"/>
      <c r="B133" s="187"/>
      <c r="C133" s="243">
        <f>VLOOKUP(LønkodeRåd2,TabelPctReg,3)</f>
        <v>36616</v>
      </c>
      <c r="D133" s="135"/>
      <c r="E133" s="142"/>
    </row>
    <row r="134" spans="1:5" ht="12.75" customHeight="1" x14ac:dyDescent="0.25">
      <c r="A134" s="193" t="s">
        <v>4</v>
      </c>
      <c r="B134" s="132"/>
      <c r="C134" s="205">
        <f>C86</f>
        <v>0</v>
      </c>
      <c r="D134" s="251">
        <f>D86</f>
        <v>0</v>
      </c>
      <c r="E134" s="142"/>
    </row>
    <row r="135" spans="1:5" ht="12.75" customHeight="1" x14ac:dyDescent="0.25">
      <c r="A135" s="193" t="s">
        <v>83</v>
      </c>
      <c r="B135" s="108"/>
      <c r="C135" s="199"/>
      <c r="D135" s="188"/>
      <c r="E135" s="142"/>
    </row>
    <row r="136" spans="1:5" ht="12.75" customHeight="1" x14ac:dyDescent="0.2">
      <c r="A136" s="185"/>
      <c r="B136" s="99"/>
      <c r="C136" s="199"/>
      <c r="D136" s="188"/>
      <c r="E136" s="142"/>
    </row>
    <row r="137" spans="1:5" ht="12.75" customHeight="1" x14ac:dyDescent="0.2">
      <c r="A137" s="185"/>
      <c r="B137" s="99"/>
      <c r="C137" s="199"/>
      <c r="D137" s="188"/>
      <c r="E137" s="142"/>
    </row>
    <row r="138" spans="1:5" ht="12.75" customHeight="1" x14ac:dyDescent="0.2">
      <c r="A138" s="185"/>
      <c r="B138" s="99"/>
      <c r="C138" s="199"/>
      <c r="D138" s="188"/>
      <c r="E138" s="142"/>
    </row>
    <row r="139" spans="1:5" ht="12.75" customHeight="1" x14ac:dyDescent="0.2">
      <c r="A139" s="185"/>
      <c r="B139" s="99"/>
      <c r="C139" s="199"/>
      <c r="D139" s="188"/>
      <c r="E139" s="142"/>
    </row>
    <row r="140" spans="1:5" ht="12.75" customHeight="1" x14ac:dyDescent="0.2">
      <c r="A140" s="185"/>
      <c r="B140" s="99"/>
      <c r="C140" s="199"/>
      <c r="D140" s="188"/>
      <c r="E140" s="142"/>
    </row>
    <row r="141" spans="1:5" ht="12.75" customHeight="1" x14ac:dyDescent="0.2">
      <c r="A141" s="185"/>
      <c r="B141" s="99"/>
      <c r="C141" s="199"/>
      <c r="D141" s="188"/>
      <c r="E141" s="142"/>
    </row>
    <row r="142" spans="1:5" ht="12.75" customHeight="1" x14ac:dyDescent="0.2">
      <c r="A142" s="185"/>
      <c r="B142" s="99"/>
      <c r="C142" s="199"/>
      <c r="D142" s="188"/>
      <c r="E142" s="142"/>
    </row>
    <row r="143" spans="1:5" ht="12.75" customHeight="1" x14ac:dyDescent="0.2">
      <c r="A143" s="185"/>
      <c r="B143" s="99"/>
      <c r="C143" s="199"/>
      <c r="D143" s="188"/>
      <c r="E143" s="142"/>
    </row>
    <row r="144" spans="1:5" ht="12.75" customHeight="1" x14ac:dyDescent="0.2">
      <c r="A144" s="185"/>
      <c r="B144" s="99"/>
      <c r="C144" s="199"/>
      <c r="D144" s="188"/>
      <c r="E144" s="142"/>
    </row>
    <row r="145" spans="1:5" ht="12.75" customHeight="1" x14ac:dyDescent="0.25">
      <c r="A145" s="193" t="s">
        <v>84</v>
      </c>
      <c r="B145" s="108"/>
      <c r="C145" s="199"/>
      <c r="D145" s="188"/>
      <c r="E145" s="142"/>
    </row>
    <row r="146" spans="1:5" ht="12.75" customHeight="1" x14ac:dyDescent="0.2">
      <c r="A146" s="185"/>
      <c r="B146" s="99"/>
      <c r="C146" s="199"/>
      <c r="D146" s="188"/>
      <c r="E146" s="142"/>
    </row>
    <row r="147" spans="1:5" ht="12.75" customHeight="1" x14ac:dyDescent="0.2">
      <c r="A147" s="185"/>
      <c r="B147" s="99"/>
      <c r="C147" s="199"/>
      <c r="D147" s="188"/>
      <c r="E147" s="142"/>
    </row>
    <row r="148" spans="1:5" ht="12.75" customHeight="1" x14ac:dyDescent="0.2">
      <c r="A148" s="185"/>
      <c r="B148" s="99"/>
      <c r="C148" s="199"/>
      <c r="D148" s="188"/>
      <c r="E148" s="142"/>
    </row>
    <row r="149" spans="1:5" ht="12.75" customHeight="1" x14ac:dyDescent="0.2">
      <c r="A149" s="185"/>
      <c r="B149" s="99"/>
      <c r="C149" s="199"/>
      <c r="D149" s="188"/>
      <c r="E149" s="142"/>
    </row>
    <row r="150" spans="1:5" ht="12.75" customHeight="1" x14ac:dyDescent="0.2">
      <c r="A150" s="185"/>
      <c r="B150" s="99"/>
      <c r="C150" s="199"/>
      <c r="D150" s="188"/>
      <c r="E150" s="142"/>
    </row>
    <row r="151" spans="1:5" ht="12.75" customHeight="1" x14ac:dyDescent="0.2">
      <c r="A151" s="185"/>
      <c r="B151" s="99"/>
      <c r="C151" s="199"/>
      <c r="D151" s="188"/>
      <c r="E151" s="142"/>
    </row>
    <row r="152" spans="1:5" ht="12.75" customHeight="1" x14ac:dyDescent="0.2">
      <c r="A152" s="185"/>
      <c r="B152" s="99"/>
      <c r="C152" s="199"/>
      <c r="D152" s="188"/>
      <c r="E152" s="142"/>
    </row>
    <row r="153" spans="1:5" ht="12.75" customHeight="1" x14ac:dyDescent="0.2">
      <c r="A153" s="185"/>
      <c r="B153" s="99"/>
      <c r="C153" s="199"/>
      <c r="D153" s="188"/>
      <c r="E153" s="142"/>
    </row>
    <row r="154" spans="1:5" ht="12.75" customHeight="1" x14ac:dyDescent="0.2">
      <c r="A154" s="185"/>
      <c r="B154" s="99"/>
      <c r="C154" s="199"/>
      <c r="D154" s="188"/>
      <c r="E154" s="142"/>
    </row>
    <row r="155" spans="1:5" ht="12.75" customHeight="1" x14ac:dyDescent="0.25">
      <c r="A155" s="193" t="s">
        <v>85</v>
      </c>
      <c r="B155" s="108"/>
      <c r="C155" s="199"/>
      <c r="D155" s="188"/>
      <c r="E155" s="142"/>
    </row>
    <row r="156" spans="1:5" ht="12.75" customHeight="1" x14ac:dyDescent="0.2">
      <c r="A156" s="185"/>
      <c r="B156" s="99"/>
      <c r="C156" s="199"/>
      <c r="D156" s="188"/>
      <c r="E156" s="142"/>
    </row>
    <row r="157" spans="1:5" ht="12.75" customHeight="1" x14ac:dyDescent="0.2">
      <c r="A157" s="185"/>
      <c r="B157" s="99"/>
      <c r="C157" s="199"/>
      <c r="D157" s="188"/>
      <c r="E157" s="142"/>
    </row>
    <row r="158" spans="1:5" ht="12.75" customHeight="1" x14ac:dyDescent="0.2">
      <c r="A158" s="185"/>
      <c r="B158" s="99"/>
      <c r="C158" s="199"/>
      <c r="D158" s="188"/>
      <c r="E158" s="142"/>
    </row>
    <row r="159" spans="1:5" ht="12.75" customHeight="1" x14ac:dyDescent="0.2">
      <c r="A159" s="185"/>
      <c r="B159" s="99"/>
      <c r="C159" s="199"/>
      <c r="D159" s="188"/>
      <c r="E159" s="142"/>
    </row>
    <row r="160" spans="1:5" ht="12.75" customHeight="1" x14ac:dyDescent="0.2">
      <c r="A160" s="185"/>
      <c r="B160" s="99"/>
      <c r="C160" s="199"/>
      <c r="D160" s="188"/>
      <c r="E160" s="142"/>
    </row>
    <row r="161" spans="1:5" ht="12.75" customHeight="1" x14ac:dyDescent="0.2">
      <c r="A161" s="185"/>
      <c r="B161" s="99"/>
      <c r="C161" s="199"/>
      <c r="D161" s="188"/>
      <c r="E161" s="142"/>
    </row>
    <row r="162" spans="1:5" ht="12.75" customHeight="1" x14ac:dyDescent="0.2">
      <c r="A162" s="185"/>
      <c r="B162" s="99"/>
      <c r="C162" s="199"/>
      <c r="D162" s="188"/>
      <c r="E162" s="142"/>
    </row>
    <row r="163" spans="1:5" ht="12.75" customHeight="1" x14ac:dyDescent="0.2">
      <c r="A163" s="185"/>
      <c r="B163" s="99"/>
      <c r="C163" s="199"/>
      <c r="D163" s="188"/>
      <c r="E163" s="142"/>
    </row>
    <row r="164" spans="1:5" ht="12.75" customHeight="1" x14ac:dyDescent="0.2">
      <c r="A164" s="185"/>
      <c r="B164" s="99"/>
      <c r="C164" s="199"/>
      <c r="D164" s="188"/>
      <c r="E164" s="142"/>
    </row>
    <row r="165" spans="1:5" ht="12.75" customHeight="1" x14ac:dyDescent="0.25">
      <c r="A165" s="193" t="s">
        <v>86</v>
      </c>
      <c r="B165" s="108"/>
      <c r="C165" s="199"/>
      <c r="D165" s="188"/>
      <c r="E165" s="142"/>
    </row>
    <row r="166" spans="1:5" ht="12.75" customHeight="1" x14ac:dyDescent="0.2">
      <c r="A166" s="185"/>
      <c r="B166" s="99"/>
      <c r="C166" s="199"/>
      <c r="D166" s="188"/>
      <c r="E166" s="142"/>
    </row>
    <row r="167" spans="1:5" ht="12.75" customHeight="1" x14ac:dyDescent="0.2">
      <c r="A167" s="185"/>
      <c r="B167" s="99"/>
      <c r="C167" s="199"/>
      <c r="D167" s="188"/>
      <c r="E167" s="142"/>
    </row>
    <row r="168" spans="1:5" ht="12.75" customHeight="1" x14ac:dyDescent="0.2">
      <c r="A168" s="185"/>
      <c r="B168" s="99"/>
      <c r="C168" s="199"/>
      <c r="D168" s="188"/>
      <c r="E168" s="142"/>
    </row>
    <row r="169" spans="1:5" ht="12.75" customHeight="1" x14ac:dyDescent="0.2">
      <c r="A169" s="185"/>
      <c r="B169" s="99"/>
      <c r="C169" s="199"/>
      <c r="D169" s="188"/>
      <c r="E169" s="142"/>
    </row>
    <row r="170" spans="1:5" ht="12.75" customHeight="1" x14ac:dyDescent="0.2">
      <c r="A170" s="185"/>
      <c r="B170" s="99"/>
      <c r="C170" s="199"/>
      <c r="D170" s="188"/>
      <c r="E170" s="142"/>
    </row>
    <row r="171" spans="1:5" ht="12.75" customHeight="1" x14ac:dyDescent="0.2">
      <c r="A171" s="185"/>
      <c r="B171" s="99"/>
      <c r="C171" s="199"/>
      <c r="D171" s="188"/>
      <c r="E171" s="142"/>
    </row>
    <row r="172" spans="1:5" ht="12.75" customHeight="1" x14ac:dyDescent="0.2">
      <c r="A172" s="185"/>
      <c r="B172" s="99"/>
      <c r="C172" s="199"/>
      <c r="D172" s="188"/>
      <c r="E172" s="142"/>
    </row>
    <row r="173" spans="1:5" ht="12.75" customHeight="1" x14ac:dyDescent="0.2">
      <c r="A173" s="185"/>
      <c r="B173" s="99"/>
      <c r="C173" s="199"/>
      <c r="D173" s="188"/>
      <c r="E173" s="142"/>
    </row>
    <row r="174" spans="1:5" ht="12.75" customHeight="1" x14ac:dyDescent="0.2">
      <c r="A174" s="185"/>
      <c r="B174" s="99"/>
      <c r="C174" s="199"/>
      <c r="D174" s="188"/>
      <c r="E174" s="142"/>
    </row>
    <row r="175" spans="1:5" ht="12.75" customHeight="1" x14ac:dyDescent="0.25">
      <c r="A175" s="193" t="s">
        <v>6</v>
      </c>
      <c r="B175" s="108"/>
      <c r="C175" s="199"/>
      <c r="D175" s="188"/>
      <c r="E175" s="142"/>
    </row>
    <row r="176" spans="1:5" ht="12.75" customHeight="1" x14ac:dyDescent="0.25">
      <c r="A176" s="194" t="s">
        <v>168</v>
      </c>
      <c r="B176" s="134"/>
      <c r="C176" s="200"/>
      <c r="D176" s="189"/>
      <c r="E176" s="142"/>
    </row>
    <row r="177" spans="1:5" ht="12.75" customHeight="1" x14ac:dyDescent="0.25">
      <c r="A177" s="192" t="s">
        <v>87</v>
      </c>
      <c r="B177" s="191"/>
      <c r="C177" s="117">
        <f>SUM(C134:C176)</f>
        <v>0</v>
      </c>
      <c r="D177" s="190">
        <f>SUM(D134:D176)</f>
        <v>0</v>
      </c>
      <c r="E177" s="142"/>
    </row>
  </sheetData>
  <sheetProtection password="CF28" sheet="1"/>
  <customSheetViews>
    <customSheetView guid="{40555330-83BF-42FA-97D0-8A355A41C0A0}" hiddenColumns="1" state="hidden">
      <selection activeCell="N21" sqref="N21"/>
      <rowBreaks count="2" manualBreakCount="2">
        <brk id="60" max="7" man="1"/>
        <brk id="125" max="7" man="1"/>
      </rowBreaks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35">
    <mergeCell ref="D67:G67"/>
    <mergeCell ref="A55:G55"/>
    <mergeCell ref="A56:G56"/>
    <mergeCell ref="A57:G57"/>
    <mergeCell ref="C65:G65"/>
    <mergeCell ref="A59:G59"/>
    <mergeCell ref="C66:G66"/>
    <mergeCell ref="A3:G3"/>
    <mergeCell ref="A63:G63"/>
    <mergeCell ref="C5:G5"/>
    <mergeCell ref="C6:G6"/>
    <mergeCell ref="C7:G7"/>
    <mergeCell ref="C11:G11"/>
    <mergeCell ref="C12:D12"/>
    <mergeCell ref="D13:G13"/>
    <mergeCell ref="A53:G53"/>
    <mergeCell ref="D17:E17"/>
    <mergeCell ref="A58:G58"/>
    <mergeCell ref="C14:D14"/>
    <mergeCell ref="A54:G54"/>
    <mergeCell ref="D119:E119"/>
    <mergeCell ref="C74:D74"/>
    <mergeCell ref="D75:G75"/>
    <mergeCell ref="C76:D76"/>
    <mergeCell ref="A108:G108"/>
    <mergeCell ref="A109:G109"/>
    <mergeCell ref="A110:G110"/>
    <mergeCell ref="A112:G112"/>
    <mergeCell ref="A106:G106"/>
    <mergeCell ref="C69:G69"/>
    <mergeCell ref="A111:G111"/>
    <mergeCell ref="A107:G107"/>
    <mergeCell ref="C68:G68"/>
    <mergeCell ref="D79:E79"/>
    <mergeCell ref="C73:G73"/>
  </mergeCells>
  <phoneticPr fontId="0" type="noConversion"/>
  <conditionalFormatting sqref="B39:B40">
    <cfRule type="cellIs" dxfId="6" priority="1" stopIfTrue="1" operator="equal">
      <formula>"Fejl! Udfyld ENTEN kr.beløb ELLER Trin"</formula>
    </cfRule>
  </conditionalFormatting>
  <conditionalFormatting sqref="C16 B15:B16 B77 B78:C78">
    <cfRule type="cellIs" dxfId="5" priority="2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  <rowBreaks count="2" manualBreakCount="2">
    <brk id="60" max="7" man="1"/>
    <brk id="1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J15"/>
  <sheetViews>
    <sheetView workbookViewId="0">
      <selection activeCell="C2" sqref="C2"/>
    </sheetView>
  </sheetViews>
  <sheetFormatPr defaultRowHeight="14.25" x14ac:dyDescent="0.2"/>
  <cols>
    <col min="1" max="1" width="40.33203125" style="524" bestFit="1" customWidth="1"/>
    <col min="2" max="2" width="13.6640625" style="524" bestFit="1" customWidth="1"/>
    <col min="3" max="3" width="22.1640625" style="524" customWidth="1"/>
    <col min="4" max="4" width="22.6640625" style="524" customWidth="1"/>
    <col min="5" max="5" width="15" style="524" customWidth="1"/>
    <col min="6" max="16384" width="9.33203125" style="524"/>
  </cols>
  <sheetData>
    <row r="1" spans="1:10" ht="15" x14ac:dyDescent="0.25">
      <c r="A1" s="522" t="s">
        <v>764</v>
      </c>
      <c r="B1" s="523"/>
    </row>
    <row r="2" spans="1:10" x14ac:dyDescent="0.2">
      <c r="A2" s="524" t="s">
        <v>149</v>
      </c>
      <c r="B2" s="525">
        <v>42736</v>
      </c>
      <c r="C2" s="524" t="str">
        <f>TEXT(B2,"d. mmmm åååå")</f>
        <v>1. januar 2017</v>
      </c>
      <c r="D2" s="524" t="str">
        <f>UPPER(C2)</f>
        <v>1. JANUAR 2017</v>
      </c>
      <c r="E2" s="524" t="str">
        <f>TEXT(B2,"d/m-åååå")</f>
        <v>1/1-2017</v>
      </c>
      <c r="H2" s="526" t="s">
        <v>761</v>
      </c>
      <c r="I2" s="526"/>
      <c r="J2" s="526"/>
    </row>
    <row r="3" spans="1:10" x14ac:dyDescent="0.2">
      <c r="B3" s="527"/>
    </row>
    <row r="4" spans="1:10" x14ac:dyDescent="0.2">
      <c r="B4" s="523"/>
    </row>
    <row r="5" spans="1:10" x14ac:dyDescent="0.2">
      <c r="A5" s="524" t="s">
        <v>763</v>
      </c>
      <c r="B5" s="528">
        <v>34.464599999999997</v>
      </c>
      <c r="C5" s="524" t="str">
        <f>+Dato2</f>
        <v>1. januar 2017</v>
      </c>
    </row>
    <row r="6" spans="1:10" x14ac:dyDescent="0.2">
      <c r="A6" s="524" t="s">
        <v>279</v>
      </c>
      <c r="B6" s="529">
        <v>36616</v>
      </c>
    </row>
    <row r="7" spans="1:10" x14ac:dyDescent="0.2">
      <c r="B7" s="530"/>
    </row>
    <row r="8" spans="1:10" ht="15" x14ac:dyDescent="0.25">
      <c r="A8" s="522" t="s">
        <v>278</v>
      </c>
      <c r="B8" s="530"/>
    </row>
    <row r="9" spans="1:10" x14ac:dyDescent="0.2">
      <c r="A9" s="524" t="s">
        <v>149</v>
      </c>
      <c r="B9" s="527">
        <f>+Dato1</f>
        <v>42736</v>
      </c>
      <c r="C9" s="524" t="str">
        <f>TEXT(B9,"d. mmmm åååå")</f>
        <v>1. januar 2017</v>
      </c>
      <c r="D9" s="524" t="str">
        <f>UPPER(C9)</f>
        <v>1. JANUAR 2017</v>
      </c>
      <c r="E9" s="524" t="str">
        <f>TEXT(B9,"d/m-åååå")</f>
        <v>1/1-2017</v>
      </c>
    </row>
    <row r="10" spans="1:10" x14ac:dyDescent="0.2">
      <c r="B10" s="527"/>
    </row>
    <row r="11" spans="1:10" x14ac:dyDescent="0.2">
      <c r="A11" s="524" t="s">
        <v>763</v>
      </c>
      <c r="B11" s="531">
        <v>17.937200000000001</v>
      </c>
      <c r="C11" s="532" t="str">
        <f>+Dato2</f>
        <v>1. januar 2017</v>
      </c>
      <c r="D11" s="533"/>
    </row>
    <row r="12" spans="1:10" x14ac:dyDescent="0.2">
      <c r="A12" s="524" t="s">
        <v>279</v>
      </c>
      <c r="B12" s="529">
        <v>38718</v>
      </c>
    </row>
    <row r="13" spans="1:10" x14ac:dyDescent="0.2">
      <c r="B13" s="534"/>
    </row>
    <row r="14" spans="1:10" ht="15" x14ac:dyDescent="0.25">
      <c r="A14" s="522"/>
    </row>
    <row r="15" spans="1:10" x14ac:dyDescent="0.2">
      <c r="A15" s="535"/>
      <c r="B15" s="536"/>
    </row>
  </sheetData>
  <sheetProtection password="CF28" sheet="1" objects="1" scenarios="1"/>
  <customSheetViews>
    <customSheetView guid="{40555330-83BF-42FA-97D0-8A355A41C0A0}" state="hidden">
      <selection activeCell="A14" sqref="A14"/>
      <pageMargins left="0.75" right="0.75" top="1" bottom="1" header="0" footer="0"/>
      <pageSetup paperSize="9" orientation="portrait" horizontalDpi="4294967293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BE57"/>
  <sheetViews>
    <sheetView zoomScale="130" zoomScaleNormal="130" workbookViewId="0">
      <pane xSplit="2" topLeftCell="O1" activePane="topRight" state="frozen"/>
      <selection activeCell="I31" sqref="I31"/>
      <selection pane="topRight" activeCell="B17" sqref="B17"/>
    </sheetView>
  </sheetViews>
  <sheetFormatPr defaultColWidth="37.5" defaultRowHeight="12.75" x14ac:dyDescent="0.2"/>
  <cols>
    <col min="1" max="1" width="12.5" style="434" customWidth="1"/>
    <col min="2" max="2" width="71.83203125" style="435" customWidth="1"/>
    <col min="3" max="3" width="87.5" style="435" customWidth="1"/>
    <col min="4" max="22" width="37.5" style="435" customWidth="1"/>
    <col min="23" max="23" width="37.5" style="483" customWidth="1"/>
    <col min="24" max="28" width="37.5" style="435" customWidth="1"/>
    <col min="29" max="29" width="37.5" style="436" customWidth="1"/>
    <col min="30" max="32" width="37.5" style="435" customWidth="1"/>
    <col min="33" max="33" width="37.5" style="436" customWidth="1"/>
    <col min="34" max="34" width="37.5" style="482" customWidth="1"/>
    <col min="35" max="35" width="37.5" style="436" customWidth="1"/>
    <col min="36" max="38" width="37.5" style="434" customWidth="1"/>
    <col min="39" max="16384" width="37.5" style="435"/>
  </cols>
  <sheetData>
    <row r="1" spans="1:57" s="484" customFormat="1" x14ac:dyDescent="0.2">
      <c r="A1" s="487" t="s">
        <v>717</v>
      </c>
      <c r="B1" s="484" t="s">
        <v>718</v>
      </c>
      <c r="C1" s="484" t="s">
        <v>719</v>
      </c>
      <c r="D1" s="484">
        <v>4</v>
      </c>
      <c r="E1" s="484">
        <v>5</v>
      </c>
      <c r="F1" s="484">
        <v>6</v>
      </c>
      <c r="G1" s="484">
        <v>7</v>
      </c>
      <c r="H1" s="484">
        <v>8</v>
      </c>
      <c r="I1" s="484">
        <v>9</v>
      </c>
      <c r="J1" s="484">
        <v>10</v>
      </c>
      <c r="K1" s="484">
        <v>11</v>
      </c>
      <c r="L1" s="484">
        <v>12</v>
      </c>
      <c r="M1" s="484">
        <v>13</v>
      </c>
      <c r="N1" s="484">
        <v>14</v>
      </c>
      <c r="O1" s="484">
        <v>15</v>
      </c>
      <c r="P1" s="484">
        <v>16</v>
      </c>
      <c r="Q1" s="484">
        <v>17</v>
      </c>
      <c r="R1" s="484">
        <v>18</v>
      </c>
      <c r="S1" s="484">
        <v>19</v>
      </c>
      <c r="T1" s="484">
        <v>20</v>
      </c>
      <c r="U1" s="484">
        <v>21</v>
      </c>
      <c r="V1" s="484">
        <v>22</v>
      </c>
      <c r="W1" s="484">
        <v>23</v>
      </c>
      <c r="X1" s="484">
        <v>24</v>
      </c>
      <c r="Y1" s="484">
        <v>25</v>
      </c>
      <c r="Z1" s="484">
        <v>26</v>
      </c>
      <c r="AA1" s="484">
        <v>27</v>
      </c>
      <c r="AB1" s="484">
        <v>28</v>
      </c>
      <c r="AC1" s="484">
        <v>29</v>
      </c>
      <c r="AD1" s="484">
        <v>30</v>
      </c>
      <c r="AE1" s="484">
        <v>31</v>
      </c>
      <c r="AF1" s="484">
        <v>32</v>
      </c>
      <c r="AG1" s="484">
        <v>33</v>
      </c>
      <c r="AH1" s="485">
        <v>34</v>
      </c>
      <c r="AI1" s="486">
        <v>35</v>
      </c>
      <c r="AJ1" s="484">
        <v>36</v>
      </c>
      <c r="AK1" s="484">
        <v>37</v>
      </c>
      <c r="AL1" s="484">
        <v>38</v>
      </c>
      <c r="AM1" s="484">
        <v>39</v>
      </c>
      <c r="AN1" s="484">
        <v>40</v>
      </c>
      <c r="AO1" s="484">
        <v>41</v>
      </c>
      <c r="AP1" s="484">
        <v>42</v>
      </c>
      <c r="AQ1" s="484">
        <v>43</v>
      </c>
      <c r="AR1" s="484">
        <v>44</v>
      </c>
      <c r="AS1" s="484">
        <v>45</v>
      </c>
    </row>
    <row r="2" spans="1:57" x14ac:dyDescent="0.2">
      <c r="A2" s="434">
        <v>3001</v>
      </c>
      <c r="B2" s="435" t="s">
        <v>416</v>
      </c>
      <c r="C2" s="435" t="s">
        <v>419</v>
      </c>
      <c r="D2" s="435" t="s">
        <v>4</v>
      </c>
      <c r="E2" s="436" t="s">
        <v>417</v>
      </c>
      <c r="F2" s="436" t="s">
        <v>421</v>
      </c>
      <c r="G2" s="436" t="s">
        <v>511</v>
      </c>
      <c r="H2" s="436" t="s">
        <v>459</v>
      </c>
      <c r="I2" s="436" t="s">
        <v>511</v>
      </c>
      <c r="J2" s="436" t="s">
        <v>462</v>
      </c>
      <c r="K2" s="436" t="s">
        <v>462</v>
      </c>
      <c r="L2" s="436" t="s">
        <v>462</v>
      </c>
      <c r="M2" s="436" t="s">
        <v>462</v>
      </c>
      <c r="N2" s="436" t="s">
        <v>462</v>
      </c>
      <c r="O2" s="436" t="s">
        <v>462</v>
      </c>
      <c r="P2" s="435" t="s">
        <v>462</v>
      </c>
      <c r="Q2" s="435" t="s">
        <v>462</v>
      </c>
      <c r="R2" s="435" t="s">
        <v>462</v>
      </c>
      <c r="S2" s="435" t="s">
        <v>462</v>
      </c>
      <c r="T2" s="435" t="s">
        <v>462</v>
      </c>
      <c r="U2" s="435" t="s">
        <v>462</v>
      </c>
      <c r="V2" s="435" t="s">
        <v>462</v>
      </c>
      <c r="W2" s="435" t="s">
        <v>462</v>
      </c>
      <c r="X2" s="435" t="s">
        <v>462</v>
      </c>
      <c r="Y2" s="435" t="s">
        <v>462</v>
      </c>
      <c r="Z2" s="435" t="s">
        <v>462</v>
      </c>
      <c r="AA2" s="435" t="s">
        <v>462</v>
      </c>
      <c r="AB2" s="435" t="s">
        <v>462</v>
      </c>
      <c r="AC2" s="436" t="s">
        <v>462</v>
      </c>
      <c r="AD2" s="435" t="s">
        <v>270</v>
      </c>
      <c r="AE2" s="435" t="s">
        <v>736</v>
      </c>
      <c r="AF2" s="435" t="s">
        <v>270</v>
      </c>
      <c r="AG2" s="435" t="s">
        <v>735</v>
      </c>
      <c r="AH2" s="476" t="s">
        <v>512</v>
      </c>
      <c r="AI2" s="437" t="s">
        <v>462</v>
      </c>
      <c r="AJ2" s="436" t="s">
        <v>513</v>
      </c>
      <c r="AK2" s="435" t="s">
        <v>462</v>
      </c>
      <c r="AL2" s="436" t="s">
        <v>514</v>
      </c>
      <c r="AM2" s="435" t="s">
        <v>462</v>
      </c>
      <c r="AN2" s="435" t="s">
        <v>515</v>
      </c>
      <c r="AO2" s="435" t="s">
        <v>462</v>
      </c>
      <c r="AP2" s="435" t="s">
        <v>467</v>
      </c>
      <c r="AQ2" s="437" t="s">
        <v>472</v>
      </c>
      <c r="AR2" s="435" t="s">
        <v>442</v>
      </c>
      <c r="AS2" s="435" t="s">
        <v>462</v>
      </c>
      <c r="AV2" s="434" t="s">
        <v>344</v>
      </c>
      <c r="AW2" s="434"/>
      <c r="AX2" s="438">
        <v>0.1852</v>
      </c>
      <c r="AY2" s="434" t="s">
        <v>345</v>
      </c>
      <c r="AZ2" s="435" t="s">
        <v>376</v>
      </c>
      <c r="BB2" s="435" t="s">
        <v>442</v>
      </c>
      <c r="BC2" s="435" t="s">
        <v>420</v>
      </c>
    </row>
    <row r="3" spans="1:57" x14ac:dyDescent="0.2">
      <c r="A3" s="434">
        <v>3011</v>
      </c>
      <c r="B3" s="435" t="s">
        <v>747</v>
      </c>
      <c r="D3" s="435" t="s">
        <v>4</v>
      </c>
      <c r="E3" s="435" t="s">
        <v>737</v>
      </c>
      <c r="F3" s="435" t="s">
        <v>4</v>
      </c>
      <c r="G3" s="435" t="s">
        <v>462</v>
      </c>
      <c r="H3" s="435" t="s">
        <v>462</v>
      </c>
      <c r="I3" s="435" t="s">
        <v>738</v>
      </c>
      <c r="J3" s="436" t="s">
        <v>462</v>
      </c>
      <c r="K3" s="435" t="s">
        <v>739</v>
      </c>
      <c r="L3" s="436" t="s">
        <v>421</v>
      </c>
      <c r="M3" s="435" t="s">
        <v>462</v>
      </c>
      <c r="N3" s="436" t="s">
        <v>459</v>
      </c>
      <c r="O3" s="436" t="s">
        <v>462</v>
      </c>
      <c r="P3" s="435" t="s">
        <v>462</v>
      </c>
      <c r="Q3" s="435" t="s">
        <v>462</v>
      </c>
      <c r="R3" s="435" t="s">
        <v>462</v>
      </c>
      <c r="S3" s="435" t="s">
        <v>462</v>
      </c>
      <c r="T3" s="435" t="s">
        <v>462</v>
      </c>
      <c r="U3" s="435" t="s">
        <v>462</v>
      </c>
      <c r="V3" s="435" t="s">
        <v>680</v>
      </c>
      <c r="W3" s="435" t="s">
        <v>682</v>
      </c>
      <c r="X3" s="435" t="s">
        <v>462</v>
      </c>
      <c r="Y3" s="435" t="s">
        <v>681</v>
      </c>
      <c r="Z3" s="435" t="s">
        <v>462</v>
      </c>
      <c r="AA3" s="435" t="s">
        <v>462</v>
      </c>
      <c r="AB3" s="435" t="s">
        <v>462</v>
      </c>
      <c r="AC3" s="436" t="s">
        <v>462</v>
      </c>
      <c r="AD3" s="435" t="s">
        <v>462</v>
      </c>
      <c r="AE3" s="435" t="s">
        <v>462</v>
      </c>
      <c r="AF3" s="435" t="s">
        <v>270</v>
      </c>
      <c r="AG3" s="436" t="s">
        <v>462</v>
      </c>
      <c r="AH3" s="476" t="s">
        <v>465</v>
      </c>
      <c r="AI3" s="437" t="s">
        <v>462</v>
      </c>
      <c r="AJ3" s="436" t="s">
        <v>513</v>
      </c>
      <c r="AK3" s="435" t="s">
        <v>462</v>
      </c>
      <c r="AL3" s="436" t="s">
        <v>514</v>
      </c>
      <c r="AM3" s="435" t="s">
        <v>462</v>
      </c>
      <c r="AN3" s="435" t="s">
        <v>515</v>
      </c>
      <c r="AO3" s="435" t="s">
        <v>462</v>
      </c>
      <c r="AP3" s="435" t="s">
        <v>467</v>
      </c>
      <c r="AQ3" s="437" t="s">
        <v>472</v>
      </c>
      <c r="AR3" s="435" t="s">
        <v>442</v>
      </c>
      <c r="AS3" s="435" t="s">
        <v>462</v>
      </c>
      <c r="AV3" s="435" t="s">
        <v>304</v>
      </c>
      <c r="AW3" s="434"/>
      <c r="AX3" s="438">
        <v>0.17699999999999999</v>
      </c>
      <c r="AY3" s="434" t="s">
        <v>346</v>
      </c>
      <c r="AZ3" s="435" t="s">
        <v>379</v>
      </c>
      <c r="BB3" s="435" t="s">
        <v>442</v>
      </c>
      <c r="BC3" s="435" t="s">
        <v>197</v>
      </c>
    </row>
    <row r="4" spans="1:57" x14ac:dyDescent="0.2">
      <c r="A4" s="434">
        <v>3031</v>
      </c>
      <c r="B4" s="435" t="s">
        <v>308</v>
      </c>
      <c r="C4" s="435" t="s">
        <v>540</v>
      </c>
      <c r="D4" s="435" t="s">
        <v>541</v>
      </c>
      <c r="E4" s="435" t="s">
        <v>557</v>
      </c>
      <c r="F4" s="435" t="s">
        <v>542</v>
      </c>
      <c r="G4" s="435" t="s">
        <v>543</v>
      </c>
      <c r="H4" s="436" t="s">
        <v>544</v>
      </c>
      <c r="I4" s="435" t="s">
        <v>545</v>
      </c>
      <c r="J4" s="436" t="s">
        <v>421</v>
      </c>
      <c r="K4" s="436" t="s">
        <v>546</v>
      </c>
      <c r="L4" s="436" t="s">
        <v>547</v>
      </c>
      <c r="M4" s="436" t="s">
        <v>548</v>
      </c>
      <c r="N4" s="436" t="s">
        <v>459</v>
      </c>
      <c r="O4" s="435" t="s">
        <v>507</v>
      </c>
      <c r="P4" s="435" t="s">
        <v>462</v>
      </c>
      <c r="Q4" s="435" t="s">
        <v>462</v>
      </c>
      <c r="R4" s="435" t="s">
        <v>462</v>
      </c>
      <c r="S4" s="435" t="s">
        <v>462</v>
      </c>
      <c r="T4" s="435" t="s">
        <v>462</v>
      </c>
      <c r="U4" s="435" t="s">
        <v>462</v>
      </c>
      <c r="V4" s="435" t="s">
        <v>680</v>
      </c>
      <c r="W4" s="435" t="s">
        <v>681</v>
      </c>
      <c r="X4" s="435" t="s">
        <v>549</v>
      </c>
      <c r="Y4" s="435" t="s">
        <v>550</v>
      </c>
      <c r="Z4" s="435" t="s">
        <v>462</v>
      </c>
      <c r="AA4" s="435" t="s">
        <v>551</v>
      </c>
      <c r="AB4" s="435" t="s">
        <v>462</v>
      </c>
      <c r="AC4" s="436" t="s">
        <v>552</v>
      </c>
      <c r="AD4" s="435" t="s">
        <v>553</v>
      </c>
      <c r="AE4" s="435" t="s">
        <v>554</v>
      </c>
      <c r="AF4" s="435" t="s">
        <v>462</v>
      </c>
      <c r="AG4" s="436" t="s">
        <v>552</v>
      </c>
      <c r="AH4" s="476" t="s">
        <v>465</v>
      </c>
      <c r="AI4" s="437" t="s">
        <v>555</v>
      </c>
      <c r="AJ4" s="436" t="s">
        <v>513</v>
      </c>
      <c r="AK4" s="435" t="s">
        <v>452</v>
      </c>
      <c r="AL4" s="436" t="s">
        <v>462</v>
      </c>
      <c r="AM4" s="435" t="s">
        <v>462</v>
      </c>
      <c r="AN4" s="435" t="s">
        <v>515</v>
      </c>
      <c r="AO4" s="435" t="s">
        <v>477</v>
      </c>
      <c r="AP4" s="435" t="s">
        <v>467</v>
      </c>
      <c r="AQ4" s="437" t="s">
        <v>472</v>
      </c>
      <c r="AR4" s="435" t="s">
        <v>442</v>
      </c>
      <c r="AS4" s="435" t="s">
        <v>556</v>
      </c>
      <c r="AV4" s="436" t="s">
        <v>348</v>
      </c>
      <c r="AW4" s="434" t="s">
        <v>347</v>
      </c>
      <c r="AX4" s="438">
        <v>0.14099999999999999</v>
      </c>
      <c r="AY4" s="434" t="s">
        <v>346</v>
      </c>
      <c r="AZ4" s="435" t="s">
        <v>334</v>
      </c>
      <c r="BB4" s="435" t="s">
        <v>442</v>
      </c>
      <c r="BC4" s="435" t="s">
        <v>224</v>
      </c>
    </row>
    <row r="5" spans="1:57" x14ac:dyDescent="0.2">
      <c r="A5" s="434">
        <v>3101</v>
      </c>
      <c r="B5" s="435" t="s">
        <v>415</v>
      </c>
      <c r="D5" s="435" t="s">
        <v>4</v>
      </c>
      <c r="E5" s="435" t="s">
        <v>418</v>
      </c>
      <c r="F5" s="436" t="s">
        <v>421</v>
      </c>
      <c r="G5" s="435" t="s">
        <v>462</v>
      </c>
      <c r="H5" s="436" t="s">
        <v>459</v>
      </c>
      <c r="I5" s="435" t="s">
        <v>462</v>
      </c>
      <c r="J5" s="436" t="s">
        <v>462</v>
      </c>
      <c r="K5" s="436" t="s">
        <v>462</v>
      </c>
      <c r="L5" s="436" t="s">
        <v>462</v>
      </c>
      <c r="M5" s="436" t="s">
        <v>462</v>
      </c>
      <c r="N5" s="436" t="s">
        <v>462</v>
      </c>
      <c r="O5" s="436" t="s">
        <v>462</v>
      </c>
      <c r="P5" s="435" t="s">
        <v>462</v>
      </c>
      <c r="Q5" s="435" t="s">
        <v>462</v>
      </c>
      <c r="R5" s="435" t="s">
        <v>462</v>
      </c>
      <c r="S5" s="435" t="s">
        <v>462</v>
      </c>
      <c r="T5" s="435" t="s">
        <v>462</v>
      </c>
      <c r="U5" s="435" t="s">
        <v>462</v>
      </c>
      <c r="V5" s="435" t="s">
        <v>680</v>
      </c>
      <c r="W5" s="435" t="s">
        <v>682</v>
      </c>
      <c r="X5" s="435" t="s">
        <v>712</v>
      </c>
      <c r="Y5" s="435" t="s">
        <v>683</v>
      </c>
      <c r="Z5" s="435" t="s">
        <v>462</v>
      </c>
      <c r="AA5" s="435" t="s">
        <v>462</v>
      </c>
      <c r="AB5" s="435" t="s">
        <v>462</v>
      </c>
      <c r="AC5" s="436" t="s">
        <v>462</v>
      </c>
      <c r="AD5" s="435" t="s">
        <v>462</v>
      </c>
      <c r="AE5" s="435" t="s">
        <v>462</v>
      </c>
      <c r="AF5" s="435" t="s">
        <v>270</v>
      </c>
      <c r="AG5" s="436" t="s">
        <v>462</v>
      </c>
      <c r="AH5" s="476" t="s">
        <v>465</v>
      </c>
      <c r="AI5" s="437" t="s">
        <v>462</v>
      </c>
      <c r="AJ5" s="436" t="s">
        <v>513</v>
      </c>
      <c r="AK5" s="435" t="s">
        <v>462</v>
      </c>
      <c r="AL5" s="436" t="s">
        <v>514</v>
      </c>
      <c r="AM5" s="435" t="s">
        <v>462</v>
      </c>
      <c r="AN5" s="435" t="s">
        <v>515</v>
      </c>
      <c r="AO5" s="435" t="s">
        <v>462</v>
      </c>
      <c r="AP5" s="435" t="s">
        <v>467</v>
      </c>
      <c r="AQ5" s="437" t="s">
        <v>472</v>
      </c>
      <c r="AR5" s="435" t="s">
        <v>442</v>
      </c>
      <c r="AS5" s="435" t="s">
        <v>462</v>
      </c>
      <c r="AV5" s="436" t="s">
        <v>349</v>
      </c>
      <c r="AW5" s="434"/>
      <c r="AX5" s="438">
        <v>0.17499999999999999</v>
      </c>
      <c r="AY5" s="434" t="s">
        <v>346</v>
      </c>
      <c r="AZ5" s="435" t="s">
        <v>350</v>
      </c>
      <c r="BA5" s="435" t="s">
        <v>362</v>
      </c>
      <c r="BB5" s="435" t="s">
        <v>442</v>
      </c>
      <c r="BC5" s="435" t="s">
        <v>198</v>
      </c>
    </row>
    <row r="6" spans="1:57" x14ac:dyDescent="0.2">
      <c r="A6" s="434">
        <v>3112</v>
      </c>
      <c r="B6" s="435" t="s">
        <v>570</v>
      </c>
      <c r="C6" s="435" t="s">
        <v>558</v>
      </c>
      <c r="D6" s="435" t="s">
        <v>559</v>
      </c>
      <c r="E6" s="435" t="s">
        <v>571</v>
      </c>
      <c r="F6" s="436" t="s">
        <v>560</v>
      </c>
      <c r="G6" s="435" t="s">
        <v>561</v>
      </c>
      <c r="H6" s="436" t="s">
        <v>562</v>
      </c>
      <c r="I6" s="435" t="s">
        <v>563</v>
      </c>
      <c r="J6" s="436" t="s">
        <v>564</v>
      </c>
      <c r="K6" s="436" t="s">
        <v>565</v>
      </c>
      <c r="L6" s="436" t="s">
        <v>421</v>
      </c>
      <c r="M6" s="436" t="s">
        <v>566</v>
      </c>
      <c r="N6" s="436" t="s">
        <v>459</v>
      </c>
      <c r="O6" s="436" t="s">
        <v>567</v>
      </c>
      <c r="P6" s="435" t="s">
        <v>462</v>
      </c>
      <c r="Q6" s="435" t="s">
        <v>462</v>
      </c>
      <c r="R6" s="435" t="s">
        <v>462</v>
      </c>
      <c r="S6" s="435" t="s">
        <v>462</v>
      </c>
      <c r="T6" s="435" t="s">
        <v>462</v>
      </c>
      <c r="U6" s="435" t="s">
        <v>462</v>
      </c>
      <c r="V6" s="435" t="s">
        <v>462</v>
      </c>
      <c r="W6" s="435" t="s">
        <v>462</v>
      </c>
      <c r="X6" s="435" t="s">
        <v>462</v>
      </c>
      <c r="Y6" s="435" t="s">
        <v>462</v>
      </c>
      <c r="Z6" s="435" t="s">
        <v>462</v>
      </c>
      <c r="AA6" s="435" t="s">
        <v>462</v>
      </c>
      <c r="AB6" s="435" t="s">
        <v>462</v>
      </c>
      <c r="AC6" s="436" t="s">
        <v>462</v>
      </c>
      <c r="AD6" s="435" t="s">
        <v>462</v>
      </c>
      <c r="AE6" s="435" t="s">
        <v>462</v>
      </c>
      <c r="AF6" s="435" t="s">
        <v>270</v>
      </c>
      <c r="AG6" s="436" t="s">
        <v>568</v>
      </c>
      <c r="AH6" s="476" t="s">
        <v>465</v>
      </c>
      <c r="AI6" s="437" t="s">
        <v>535</v>
      </c>
      <c r="AJ6" s="436" t="s">
        <v>513</v>
      </c>
      <c r="AK6" s="435" t="s">
        <v>334</v>
      </c>
      <c r="AL6" s="436" t="s">
        <v>462</v>
      </c>
      <c r="AM6" s="435" t="s">
        <v>462</v>
      </c>
      <c r="AN6" s="435" t="s">
        <v>515</v>
      </c>
      <c r="AO6" s="435" t="s">
        <v>569</v>
      </c>
      <c r="AP6" s="435" t="s">
        <v>467</v>
      </c>
      <c r="AQ6" s="437" t="s">
        <v>472</v>
      </c>
      <c r="AR6" s="435" t="s">
        <v>442</v>
      </c>
      <c r="AS6" s="435" t="s">
        <v>199</v>
      </c>
      <c r="AV6" s="434"/>
      <c r="AW6" s="434"/>
      <c r="AX6" s="438"/>
      <c r="AY6" s="434"/>
    </row>
    <row r="7" spans="1:57" x14ac:dyDescent="0.2">
      <c r="A7" s="434">
        <v>3151</v>
      </c>
      <c r="B7" s="435" t="s">
        <v>40</v>
      </c>
      <c r="D7" s="435" t="s">
        <v>4</v>
      </c>
      <c r="F7" s="436" t="s">
        <v>421</v>
      </c>
      <c r="G7" s="435" t="s">
        <v>462</v>
      </c>
      <c r="H7" s="436" t="s">
        <v>459</v>
      </c>
      <c r="I7" s="435" t="s">
        <v>462</v>
      </c>
      <c r="J7" s="436" t="s">
        <v>462</v>
      </c>
      <c r="K7" s="436" t="s">
        <v>462</v>
      </c>
      <c r="L7" s="436" t="s">
        <v>462</v>
      </c>
      <c r="M7" s="436" t="s">
        <v>462</v>
      </c>
      <c r="N7" s="436" t="s">
        <v>462</v>
      </c>
      <c r="O7" s="436" t="s">
        <v>462</v>
      </c>
      <c r="P7" s="435" t="s">
        <v>462</v>
      </c>
      <c r="Q7" s="435" t="s">
        <v>462</v>
      </c>
      <c r="R7" s="435" t="s">
        <v>462</v>
      </c>
      <c r="S7" s="435" t="s">
        <v>462</v>
      </c>
      <c r="T7" s="435" t="s">
        <v>462</v>
      </c>
      <c r="U7" s="435" t="s">
        <v>462</v>
      </c>
      <c r="V7" s="435" t="s">
        <v>462</v>
      </c>
      <c r="W7" s="435" t="s">
        <v>462</v>
      </c>
      <c r="X7" s="435" t="s">
        <v>462</v>
      </c>
      <c r="Y7" s="435" t="s">
        <v>462</v>
      </c>
      <c r="Z7" s="435" t="s">
        <v>462</v>
      </c>
      <c r="AA7" s="435" t="s">
        <v>462</v>
      </c>
      <c r="AB7" s="435" t="s">
        <v>462</v>
      </c>
      <c r="AC7" s="436" t="s">
        <v>462</v>
      </c>
      <c r="AD7" s="435" t="s">
        <v>462</v>
      </c>
      <c r="AE7" s="435" t="s">
        <v>462</v>
      </c>
      <c r="AF7" s="435" t="s">
        <v>270</v>
      </c>
      <c r="AG7" s="436" t="s">
        <v>462</v>
      </c>
      <c r="AH7" s="476" t="s">
        <v>465</v>
      </c>
      <c r="AI7" s="437" t="s">
        <v>462</v>
      </c>
      <c r="AJ7" s="436" t="s">
        <v>513</v>
      </c>
      <c r="AK7" s="435" t="s">
        <v>462</v>
      </c>
      <c r="AL7" s="436" t="s">
        <v>514</v>
      </c>
      <c r="AM7" s="435" t="s">
        <v>462</v>
      </c>
      <c r="AN7" s="435" t="s">
        <v>515</v>
      </c>
      <c r="AO7" s="435" t="s">
        <v>462</v>
      </c>
      <c r="AP7" s="435" t="s">
        <v>467</v>
      </c>
      <c r="AQ7" s="437" t="s">
        <v>472</v>
      </c>
      <c r="AR7" s="435" t="s">
        <v>442</v>
      </c>
      <c r="AS7" s="435" t="s">
        <v>462</v>
      </c>
      <c r="AV7" s="434"/>
      <c r="AW7" s="434"/>
      <c r="AX7" s="434"/>
      <c r="AY7" s="434"/>
      <c r="BB7" s="435" t="s">
        <v>442</v>
      </c>
      <c r="BC7" s="435" t="s">
        <v>200</v>
      </c>
    </row>
    <row r="8" spans="1:57" x14ac:dyDescent="0.2">
      <c r="A8" s="434">
        <v>3201</v>
      </c>
      <c r="B8" s="435" t="s">
        <v>573</v>
      </c>
      <c r="C8" s="435" t="s">
        <v>574</v>
      </c>
      <c r="D8" s="435" t="s">
        <v>4</v>
      </c>
      <c r="E8" s="435" t="s">
        <v>575</v>
      </c>
      <c r="F8" s="436" t="s">
        <v>576</v>
      </c>
      <c r="G8" s="435" t="s">
        <v>578</v>
      </c>
      <c r="H8" s="436" t="s">
        <v>577</v>
      </c>
      <c r="I8" s="435" t="s">
        <v>578</v>
      </c>
      <c r="J8" s="436" t="s">
        <v>547</v>
      </c>
      <c r="K8" s="436" t="s">
        <v>579</v>
      </c>
      <c r="L8" s="436" t="s">
        <v>580</v>
      </c>
      <c r="M8" s="436" t="s">
        <v>457</v>
      </c>
      <c r="N8" s="436" t="s">
        <v>462</v>
      </c>
      <c r="O8" s="436" t="s">
        <v>462</v>
      </c>
      <c r="P8" s="435" t="s">
        <v>462</v>
      </c>
      <c r="Q8" s="435" t="s">
        <v>462</v>
      </c>
      <c r="R8" s="435" t="s">
        <v>462</v>
      </c>
      <c r="S8" s="435" t="s">
        <v>462</v>
      </c>
      <c r="T8" s="435" t="s">
        <v>462</v>
      </c>
      <c r="U8" s="435" t="s">
        <v>462</v>
      </c>
      <c r="V8" s="435" t="s">
        <v>680</v>
      </c>
      <c r="W8" s="435" t="s">
        <v>462</v>
      </c>
      <c r="X8" s="435" t="s">
        <v>462</v>
      </c>
      <c r="Y8" s="435" t="s">
        <v>462</v>
      </c>
      <c r="Z8" s="435" t="s">
        <v>462</v>
      </c>
      <c r="AA8" s="435" t="s">
        <v>462</v>
      </c>
      <c r="AB8" s="435" t="s">
        <v>462</v>
      </c>
      <c r="AC8" s="436" t="s">
        <v>462</v>
      </c>
      <c r="AD8" s="435" t="s">
        <v>462</v>
      </c>
      <c r="AE8" s="435" t="s">
        <v>462</v>
      </c>
      <c r="AF8" s="435" t="s">
        <v>270</v>
      </c>
      <c r="AG8" s="436" t="s">
        <v>581</v>
      </c>
      <c r="AH8" s="437" t="s">
        <v>465</v>
      </c>
      <c r="AI8" s="437" t="s">
        <v>535</v>
      </c>
      <c r="AJ8" s="436" t="s">
        <v>513</v>
      </c>
      <c r="AK8" s="435" t="s">
        <v>536</v>
      </c>
      <c r="AL8" s="436" t="s">
        <v>514</v>
      </c>
      <c r="AM8" s="435" t="s">
        <v>582</v>
      </c>
      <c r="AN8" s="435" t="s">
        <v>515</v>
      </c>
      <c r="AO8" s="435" t="s">
        <v>477</v>
      </c>
      <c r="AP8" s="435" t="s">
        <v>467</v>
      </c>
      <c r="AQ8" s="437" t="s">
        <v>472</v>
      </c>
      <c r="AR8" s="435" t="s">
        <v>442</v>
      </c>
      <c r="AS8" s="435" t="s">
        <v>572</v>
      </c>
      <c r="AV8" s="434"/>
      <c r="AW8" s="434"/>
      <c r="AX8" s="438"/>
      <c r="AY8" s="434"/>
    </row>
    <row r="9" spans="1:57" x14ac:dyDescent="0.2">
      <c r="A9" s="434">
        <v>3211</v>
      </c>
      <c r="B9" s="435" t="s">
        <v>287</v>
      </c>
      <c r="D9" s="435" t="s">
        <v>4</v>
      </c>
      <c r="F9" s="436" t="s">
        <v>421</v>
      </c>
      <c r="G9" s="435" t="s">
        <v>462</v>
      </c>
      <c r="H9" s="436" t="s">
        <v>459</v>
      </c>
      <c r="I9" s="435" t="s">
        <v>462</v>
      </c>
      <c r="J9" s="436" t="s">
        <v>462</v>
      </c>
      <c r="K9" s="436" t="s">
        <v>462</v>
      </c>
      <c r="L9" s="436" t="s">
        <v>462</v>
      </c>
      <c r="M9" s="436" t="s">
        <v>462</v>
      </c>
      <c r="N9" s="436" t="s">
        <v>462</v>
      </c>
      <c r="O9" s="436" t="s">
        <v>462</v>
      </c>
      <c r="P9" s="435" t="s">
        <v>462</v>
      </c>
      <c r="Q9" s="435" t="s">
        <v>462</v>
      </c>
      <c r="R9" s="435" t="s">
        <v>462</v>
      </c>
      <c r="S9" s="435" t="s">
        <v>462</v>
      </c>
      <c r="T9" s="435" t="s">
        <v>462</v>
      </c>
      <c r="U9" s="435" t="s">
        <v>462</v>
      </c>
      <c r="V9" s="435" t="s">
        <v>680</v>
      </c>
      <c r="W9" s="435" t="s">
        <v>462</v>
      </c>
      <c r="X9" s="435" t="s">
        <v>462</v>
      </c>
      <c r="Y9" s="435" t="s">
        <v>462</v>
      </c>
      <c r="Z9" s="435" t="s">
        <v>462</v>
      </c>
      <c r="AA9" s="435" t="s">
        <v>462</v>
      </c>
      <c r="AB9" s="435" t="s">
        <v>462</v>
      </c>
      <c r="AC9" s="436" t="s">
        <v>462</v>
      </c>
      <c r="AD9" s="435" t="s">
        <v>462</v>
      </c>
      <c r="AE9" s="435" t="s">
        <v>462</v>
      </c>
      <c r="AF9" s="435" t="s">
        <v>270</v>
      </c>
      <c r="AG9" s="436" t="s">
        <v>462</v>
      </c>
      <c r="AH9" s="476" t="s">
        <v>465</v>
      </c>
      <c r="AI9" s="437" t="s">
        <v>462</v>
      </c>
      <c r="AJ9" s="436" t="s">
        <v>513</v>
      </c>
      <c r="AK9" s="435" t="s">
        <v>462</v>
      </c>
      <c r="AL9" s="436" t="s">
        <v>514</v>
      </c>
      <c r="AM9" s="435" t="s">
        <v>462</v>
      </c>
      <c r="AN9" s="435" t="s">
        <v>515</v>
      </c>
      <c r="AO9" s="435" t="s">
        <v>462</v>
      </c>
      <c r="AP9" s="435" t="s">
        <v>467</v>
      </c>
      <c r="AQ9" s="437" t="s">
        <v>472</v>
      </c>
      <c r="AR9" s="435" t="s">
        <v>442</v>
      </c>
      <c r="AS9" s="435" t="s">
        <v>462</v>
      </c>
      <c r="AV9" s="434" t="s">
        <v>363</v>
      </c>
      <c r="AW9" s="434" t="s">
        <v>364</v>
      </c>
      <c r="AX9" s="438">
        <v>0.1615</v>
      </c>
      <c r="AY9" s="434" t="s">
        <v>361</v>
      </c>
      <c r="AZ9" s="435" t="s">
        <v>365</v>
      </c>
      <c r="BA9" s="435" t="s">
        <v>362</v>
      </c>
      <c r="BB9" s="435" t="s">
        <v>442</v>
      </c>
      <c r="BC9" s="435" t="s">
        <v>201</v>
      </c>
    </row>
    <row r="10" spans="1:57" x14ac:dyDescent="0.2">
      <c r="A10" s="434">
        <v>3303</v>
      </c>
      <c r="B10" s="435" t="s">
        <v>301</v>
      </c>
      <c r="D10" s="435" t="s">
        <v>4</v>
      </c>
      <c r="F10" s="436" t="s">
        <v>421</v>
      </c>
      <c r="G10" s="435" t="s">
        <v>462</v>
      </c>
      <c r="H10" s="436" t="s">
        <v>459</v>
      </c>
      <c r="I10" s="435" t="s">
        <v>462</v>
      </c>
      <c r="J10" s="436" t="s">
        <v>462</v>
      </c>
      <c r="K10" s="436" t="s">
        <v>462</v>
      </c>
      <c r="L10" s="436" t="s">
        <v>462</v>
      </c>
      <c r="M10" s="436" t="s">
        <v>462</v>
      </c>
      <c r="N10" s="436" t="s">
        <v>462</v>
      </c>
      <c r="O10" s="436" t="s">
        <v>462</v>
      </c>
      <c r="P10" s="435" t="s">
        <v>462</v>
      </c>
      <c r="Q10" s="435" t="s">
        <v>462</v>
      </c>
      <c r="R10" s="435" t="s">
        <v>462</v>
      </c>
      <c r="S10" s="435" t="s">
        <v>462</v>
      </c>
      <c r="T10" s="435" t="s">
        <v>462</v>
      </c>
      <c r="U10" s="435" t="s">
        <v>462</v>
      </c>
      <c r="V10" s="435" t="s">
        <v>462</v>
      </c>
      <c r="W10" s="435" t="s">
        <v>462</v>
      </c>
      <c r="X10" s="435" t="s">
        <v>462</v>
      </c>
      <c r="Y10" s="435" t="s">
        <v>462</v>
      </c>
      <c r="Z10" s="435" t="s">
        <v>462</v>
      </c>
      <c r="AA10" s="435" t="s">
        <v>462</v>
      </c>
      <c r="AB10" s="435" t="s">
        <v>462</v>
      </c>
      <c r="AC10" s="436" t="s">
        <v>462</v>
      </c>
      <c r="AD10" s="435" t="s">
        <v>462</v>
      </c>
      <c r="AE10" s="435" t="s">
        <v>462</v>
      </c>
      <c r="AF10" s="435" t="s">
        <v>270</v>
      </c>
      <c r="AG10" s="436" t="s">
        <v>462</v>
      </c>
      <c r="AH10" s="476" t="s">
        <v>465</v>
      </c>
      <c r="AI10" s="437" t="s">
        <v>462</v>
      </c>
      <c r="AJ10" s="436" t="s">
        <v>513</v>
      </c>
      <c r="AK10" s="435" t="s">
        <v>462</v>
      </c>
      <c r="AL10" s="436" t="s">
        <v>514</v>
      </c>
      <c r="AM10" s="435" t="s">
        <v>462</v>
      </c>
      <c r="AN10" s="435" t="s">
        <v>515</v>
      </c>
      <c r="AO10" s="435" t="s">
        <v>462</v>
      </c>
      <c r="AP10" s="435" t="s">
        <v>467</v>
      </c>
      <c r="AQ10" s="437" t="s">
        <v>472</v>
      </c>
      <c r="AR10" s="435" t="s">
        <v>442</v>
      </c>
      <c r="AS10" s="435" t="s">
        <v>462</v>
      </c>
      <c r="AV10" s="434" t="s">
        <v>363</v>
      </c>
      <c r="AW10" s="434" t="s">
        <v>366</v>
      </c>
      <c r="AX10" s="438">
        <v>0.13800000000000001</v>
      </c>
      <c r="AY10" s="434" t="s">
        <v>367</v>
      </c>
      <c r="AZ10" s="435" t="s">
        <v>334</v>
      </c>
      <c r="BB10" s="435" t="s">
        <v>442</v>
      </c>
    </row>
    <row r="11" spans="1:57" x14ac:dyDescent="0.2">
      <c r="A11" s="434">
        <v>3401</v>
      </c>
      <c r="B11" s="435" t="s">
        <v>41</v>
      </c>
      <c r="D11" s="435" t="s">
        <v>4</v>
      </c>
      <c r="E11" s="435" t="s">
        <v>583</v>
      </c>
      <c r="F11" s="436" t="s">
        <v>421</v>
      </c>
      <c r="G11" s="435" t="s">
        <v>457</v>
      </c>
      <c r="H11" s="436" t="s">
        <v>459</v>
      </c>
      <c r="I11" s="435" t="s">
        <v>585</v>
      </c>
      <c r="J11" s="436" t="s">
        <v>459</v>
      </c>
      <c r="K11" s="435" t="s">
        <v>586</v>
      </c>
      <c r="L11" s="436" t="s">
        <v>459</v>
      </c>
      <c r="M11" s="435" t="s">
        <v>584</v>
      </c>
      <c r="N11" s="436" t="s">
        <v>462</v>
      </c>
      <c r="O11" s="436" t="s">
        <v>462</v>
      </c>
      <c r="P11" s="435" t="s">
        <v>462</v>
      </c>
      <c r="Q11" s="435" t="s">
        <v>462</v>
      </c>
      <c r="R11" s="435" t="s">
        <v>462</v>
      </c>
      <c r="S11" s="435" t="s">
        <v>462</v>
      </c>
      <c r="T11" s="435" t="s">
        <v>462</v>
      </c>
      <c r="U11" s="435" t="s">
        <v>462</v>
      </c>
      <c r="V11" s="435" t="s">
        <v>680</v>
      </c>
      <c r="W11" s="435" t="s">
        <v>462</v>
      </c>
      <c r="X11" s="435" t="s">
        <v>462</v>
      </c>
      <c r="Y11" s="435" t="s">
        <v>462</v>
      </c>
      <c r="Z11" s="435" t="s">
        <v>462</v>
      </c>
      <c r="AA11" s="435" t="s">
        <v>462</v>
      </c>
      <c r="AB11" s="435" t="s">
        <v>462</v>
      </c>
      <c r="AC11" s="436" t="s">
        <v>462</v>
      </c>
      <c r="AD11" s="435" t="s">
        <v>462</v>
      </c>
      <c r="AE11" s="435" t="s">
        <v>462</v>
      </c>
      <c r="AF11" s="435" t="s">
        <v>270</v>
      </c>
      <c r="AG11" s="436" t="s">
        <v>587</v>
      </c>
      <c r="AH11" s="476" t="s">
        <v>465</v>
      </c>
      <c r="AI11" s="437" t="s">
        <v>535</v>
      </c>
      <c r="AJ11" s="436" t="s">
        <v>513</v>
      </c>
      <c r="AK11" s="435" t="s">
        <v>588</v>
      </c>
      <c r="AL11" s="436" t="s">
        <v>514</v>
      </c>
      <c r="AM11" s="435" t="s">
        <v>589</v>
      </c>
      <c r="AN11" s="435" t="s">
        <v>515</v>
      </c>
      <c r="AO11" s="435" t="s">
        <v>477</v>
      </c>
      <c r="AP11" s="435" t="s">
        <v>467</v>
      </c>
      <c r="AQ11" s="437" t="s">
        <v>472</v>
      </c>
      <c r="AR11" s="435" t="s">
        <v>442</v>
      </c>
      <c r="AS11" s="435" t="s">
        <v>202</v>
      </c>
      <c r="AV11" s="434"/>
      <c r="AW11" s="434"/>
      <c r="AX11" s="438"/>
      <c r="AY11" s="434"/>
    </row>
    <row r="12" spans="1:57" x14ac:dyDescent="0.2">
      <c r="A12" s="434">
        <v>3511</v>
      </c>
      <c r="B12" s="435" t="s">
        <v>604</v>
      </c>
      <c r="C12" s="435" t="s">
        <v>590</v>
      </c>
      <c r="D12" s="435" t="s">
        <v>591</v>
      </c>
      <c r="E12" s="435" t="s">
        <v>592</v>
      </c>
      <c r="F12" s="436" t="s">
        <v>593</v>
      </c>
      <c r="G12" s="435" t="s">
        <v>594</v>
      </c>
      <c r="H12" s="436" t="s">
        <v>595</v>
      </c>
      <c r="I12" s="435" t="s">
        <v>597</v>
      </c>
      <c r="J12" s="436" t="s">
        <v>596</v>
      </c>
      <c r="K12" s="435" t="s">
        <v>597</v>
      </c>
      <c r="L12" s="436" t="s">
        <v>598</v>
      </c>
      <c r="M12" s="435" t="s">
        <v>599</v>
      </c>
      <c r="N12" s="436" t="s">
        <v>600</v>
      </c>
      <c r="O12" s="436" t="s">
        <v>601</v>
      </c>
      <c r="P12" s="435" t="s">
        <v>602</v>
      </c>
      <c r="Q12" s="435" t="s">
        <v>603</v>
      </c>
      <c r="R12" s="435" t="s">
        <v>421</v>
      </c>
      <c r="S12" s="435" t="s">
        <v>605</v>
      </c>
      <c r="T12" s="435" t="s">
        <v>459</v>
      </c>
      <c r="U12" s="435" t="s">
        <v>606</v>
      </c>
      <c r="V12" s="435" t="s">
        <v>459</v>
      </c>
      <c r="W12" s="435" t="s">
        <v>607</v>
      </c>
      <c r="X12" s="435" t="s">
        <v>462</v>
      </c>
      <c r="Y12" s="435" t="s">
        <v>462</v>
      </c>
      <c r="Z12" s="435" t="s">
        <v>462</v>
      </c>
      <c r="AA12" s="435" t="s">
        <v>462</v>
      </c>
      <c r="AB12" s="435" t="s">
        <v>462</v>
      </c>
      <c r="AC12" s="436" t="s">
        <v>462</v>
      </c>
      <c r="AD12" s="435" t="s">
        <v>462</v>
      </c>
      <c r="AE12" s="435" t="s">
        <v>462</v>
      </c>
      <c r="AF12" s="435" t="s">
        <v>270</v>
      </c>
      <c r="AG12" s="436" t="s">
        <v>608</v>
      </c>
      <c r="AH12" s="476" t="s">
        <v>465</v>
      </c>
      <c r="AI12" s="437" t="s">
        <v>535</v>
      </c>
      <c r="AJ12" s="436" t="s">
        <v>513</v>
      </c>
      <c r="AK12" s="435" t="s">
        <v>334</v>
      </c>
      <c r="AL12" s="436" t="s">
        <v>462</v>
      </c>
      <c r="AM12" s="435" t="s">
        <v>462</v>
      </c>
      <c r="AN12" s="435" t="s">
        <v>515</v>
      </c>
      <c r="AO12" s="435" t="s">
        <v>477</v>
      </c>
      <c r="AP12" s="435" t="s">
        <v>467</v>
      </c>
      <c r="AQ12" s="437" t="s">
        <v>472</v>
      </c>
      <c r="AR12" s="435" t="s">
        <v>442</v>
      </c>
      <c r="AS12" s="435" t="s">
        <v>609</v>
      </c>
      <c r="AV12" s="434"/>
      <c r="AW12" s="434"/>
      <c r="AX12" s="438"/>
      <c r="AY12" s="434"/>
    </row>
    <row r="13" spans="1:57" x14ac:dyDescent="0.2">
      <c r="A13" s="434">
        <v>4001</v>
      </c>
      <c r="B13" s="435" t="s">
        <v>501</v>
      </c>
      <c r="C13" s="435" t="s">
        <v>503</v>
      </c>
      <c r="D13" s="435" t="s">
        <v>502</v>
      </c>
      <c r="E13" s="435" t="s">
        <v>505</v>
      </c>
      <c r="F13" s="436" t="s">
        <v>504</v>
      </c>
      <c r="G13" s="435" t="s">
        <v>506</v>
      </c>
      <c r="H13" s="436" t="s">
        <v>421</v>
      </c>
      <c r="I13" s="435" t="s">
        <v>507</v>
      </c>
      <c r="J13" s="436" t="s">
        <v>509</v>
      </c>
      <c r="K13" s="435" t="s">
        <v>508</v>
      </c>
      <c r="L13" s="435" t="s">
        <v>459</v>
      </c>
      <c r="M13" s="435" t="s">
        <v>510</v>
      </c>
      <c r="N13" s="436" t="s">
        <v>462</v>
      </c>
      <c r="O13" s="436" t="s">
        <v>462</v>
      </c>
      <c r="P13" s="435" t="s">
        <v>462</v>
      </c>
      <c r="Q13" s="435" t="s">
        <v>462</v>
      </c>
      <c r="R13" s="435" t="s">
        <v>462</v>
      </c>
      <c r="S13" s="435" t="s">
        <v>462</v>
      </c>
      <c r="T13" s="435" t="s">
        <v>462</v>
      </c>
      <c r="U13" s="435" t="s">
        <v>462</v>
      </c>
      <c r="V13" s="435" t="s">
        <v>680</v>
      </c>
      <c r="W13" s="435" t="s">
        <v>682</v>
      </c>
      <c r="X13" s="435" t="s">
        <v>462</v>
      </c>
      <c r="Y13" s="435" t="s">
        <v>462</v>
      </c>
      <c r="Z13" s="435" t="s">
        <v>462</v>
      </c>
      <c r="AA13" s="435" t="s">
        <v>462</v>
      </c>
      <c r="AB13" s="435" t="s">
        <v>462</v>
      </c>
      <c r="AC13" s="436" t="s">
        <v>462</v>
      </c>
      <c r="AD13" s="435" t="s">
        <v>462</v>
      </c>
      <c r="AE13" s="435" t="s">
        <v>462</v>
      </c>
      <c r="AF13" s="435" t="s">
        <v>270</v>
      </c>
      <c r="AG13" s="437" t="s">
        <v>517</v>
      </c>
      <c r="AH13" s="476" t="s">
        <v>465</v>
      </c>
      <c r="AI13" s="435" t="s">
        <v>516</v>
      </c>
      <c r="AJ13" s="436" t="s">
        <v>513</v>
      </c>
      <c r="AK13" s="435" t="s">
        <v>462</v>
      </c>
      <c r="AL13" s="436" t="s">
        <v>514</v>
      </c>
      <c r="AM13" s="435" t="s">
        <v>462</v>
      </c>
      <c r="AN13" s="435" t="s">
        <v>515</v>
      </c>
      <c r="AO13" s="435" t="s">
        <v>477</v>
      </c>
      <c r="AP13" s="435" t="s">
        <v>467</v>
      </c>
      <c r="AQ13" s="437" t="s">
        <v>474</v>
      </c>
      <c r="AR13" s="435" t="s">
        <v>442</v>
      </c>
      <c r="AS13" s="435" t="s">
        <v>518</v>
      </c>
      <c r="AT13" s="435" t="s">
        <v>462</v>
      </c>
      <c r="AU13" s="435" t="s">
        <v>462</v>
      </c>
      <c r="AV13" s="435" t="s">
        <v>462</v>
      </c>
      <c r="AW13" s="435" t="s">
        <v>462</v>
      </c>
      <c r="AX13" s="435" t="s">
        <v>462</v>
      </c>
      <c r="AY13" s="435" t="s">
        <v>462</v>
      </c>
      <c r="AZ13" s="435" t="s">
        <v>462</v>
      </c>
      <c r="BA13" s="435" t="s">
        <v>462</v>
      </c>
      <c r="BB13" s="435" t="s">
        <v>462</v>
      </c>
      <c r="BC13" s="435" t="s">
        <v>462</v>
      </c>
      <c r="BD13" s="435" t="s">
        <v>462</v>
      </c>
      <c r="BE13" s="435" t="s">
        <v>462</v>
      </c>
    </row>
    <row r="14" spans="1:57" x14ac:dyDescent="0.2">
      <c r="A14" s="434">
        <v>4011</v>
      </c>
      <c r="B14" s="435" t="s">
        <v>42</v>
      </c>
      <c r="C14" s="435" t="s">
        <v>351</v>
      </c>
      <c r="D14" s="435" t="s">
        <v>4</v>
      </c>
      <c r="F14" s="436" t="s">
        <v>421</v>
      </c>
      <c r="H14" s="436" t="s">
        <v>459</v>
      </c>
      <c r="K14" s="436" t="s">
        <v>462</v>
      </c>
      <c r="L14" s="436" t="s">
        <v>462</v>
      </c>
      <c r="M14" s="436" t="s">
        <v>462</v>
      </c>
      <c r="N14" s="436" t="s">
        <v>462</v>
      </c>
      <c r="O14" s="436" t="s">
        <v>462</v>
      </c>
      <c r="P14" s="435" t="s">
        <v>462</v>
      </c>
      <c r="Q14" s="435" t="s">
        <v>462</v>
      </c>
      <c r="R14" s="435" t="s">
        <v>462</v>
      </c>
      <c r="S14" s="435" t="s">
        <v>462</v>
      </c>
      <c r="T14" s="435" t="s">
        <v>462</v>
      </c>
      <c r="U14" s="435" t="s">
        <v>462</v>
      </c>
      <c r="V14" s="435" t="s">
        <v>680</v>
      </c>
      <c r="W14" s="435" t="s">
        <v>462</v>
      </c>
      <c r="X14" s="435" t="s">
        <v>462</v>
      </c>
      <c r="Y14" s="435" t="s">
        <v>462</v>
      </c>
      <c r="Z14" s="435" t="s">
        <v>462</v>
      </c>
      <c r="AA14" s="435" t="s">
        <v>462</v>
      </c>
      <c r="AB14" s="435" t="s">
        <v>462</v>
      </c>
      <c r="AC14" s="436" t="s">
        <v>462</v>
      </c>
      <c r="AD14" s="435" t="s">
        <v>462</v>
      </c>
      <c r="AE14" s="435" t="s">
        <v>462</v>
      </c>
      <c r="AF14" s="435" t="s">
        <v>270</v>
      </c>
      <c r="AG14" s="436" t="s">
        <v>462</v>
      </c>
      <c r="AH14" s="476" t="s">
        <v>465</v>
      </c>
      <c r="AI14" s="437" t="s">
        <v>462</v>
      </c>
      <c r="AJ14" s="436" t="s">
        <v>513</v>
      </c>
      <c r="AK14" s="435" t="s">
        <v>462</v>
      </c>
      <c r="AL14" s="436" t="s">
        <v>514</v>
      </c>
      <c r="AM14" s="435" t="s">
        <v>462</v>
      </c>
      <c r="AN14" s="435" t="s">
        <v>515</v>
      </c>
      <c r="AO14" s="435" t="s">
        <v>462</v>
      </c>
      <c r="AP14" s="435" t="s">
        <v>467</v>
      </c>
      <c r="AQ14" s="437" t="s">
        <v>472</v>
      </c>
      <c r="AR14" s="435" t="s">
        <v>442</v>
      </c>
      <c r="AS14" s="435" t="s">
        <v>462</v>
      </c>
      <c r="AV14" s="434" t="s">
        <v>352</v>
      </c>
      <c r="AW14" s="436" t="s">
        <v>353</v>
      </c>
      <c r="AX14" s="438">
        <v>0.16250000000000001</v>
      </c>
      <c r="AY14" s="434" t="s">
        <v>354</v>
      </c>
      <c r="AZ14" s="435" t="s">
        <v>355</v>
      </c>
      <c r="BB14" s="435" t="s">
        <v>442</v>
      </c>
      <c r="BC14" s="435" t="s">
        <v>203</v>
      </c>
    </row>
    <row r="15" spans="1:57" x14ac:dyDescent="0.2">
      <c r="A15" s="434">
        <v>4021</v>
      </c>
      <c r="B15" s="435" t="s">
        <v>533</v>
      </c>
      <c r="D15" s="435" t="s">
        <v>4</v>
      </c>
      <c r="E15" s="435" t="s">
        <v>534</v>
      </c>
      <c r="F15" s="436" t="s">
        <v>421</v>
      </c>
      <c r="G15" s="435" t="s">
        <v>457</v>
      </c>
      <c r="H15" s="436" t="s">
        <v>459</v>
      </c>
      <c r="I15" s="435" t="s">
        <v>457</v>
      </c>
      <c r="K15" s="436" t="s">
        <v>462</v>
      </c>
      <c r="L15" s="436" t="s">
        <v>462</v>
      </c>
      <c r="M15" s="436" t="s">
        <v>462</v>
      </c>
      <c r="N15" s="436" t="s">
        <v>462</v>
      </c>
      <c r="O15" s="436" t="s">
        <v>462</v>
      </c>
      <c r="P15" s="435" t="s">
        <v>462</v>
      </c>
      <c r="Q15" s="435" t="s">
        <v>462</v>
      </c>
      <c r="R15" s="435" t="s">
        <v>462</v>
      </c>
      <c r="S15" s="435" t="s">
        <v>462</v>
      </c>
      <c r="T15" s="435" t="s">
        <v>462</v>
      </c>
      <c r="U15" s="435" t="s">
        <v>462</v>
      </c>
      <c r="V15" s="435" t="s">
        <v>680</v>
      </c>
      <c r="W15" s="435" t="s">
        <v>462</v>
      </c>
      <c r="X15" s="435" t="s">
        <v>462</v>
      </c>
      <c r="Y15" s="435" t="s">
        <v>462</v>
      </c>
      <c r="Z15" s="435" t="s">
        <v>462</v>
      </c>
      <c r="AA15" s="435" t="s">
        <v>462</v>
      </c>
      <c r="AB15" s="435" t="s">
        <v>462</v>
      </c>
      <c r="AC15" s="436" t="s">
        <v>462</v>
      </c>
      <c r="AD15" s="435" t="s">
        <v>462</v>
      </c>
      <c r="AE15" s="435" t="s">
        <v>462</v>
      </c>
      <c r="AF15" s="435" t="s">
        <v>270</v>
      </c>
      <c r="AG15" s="436" t="s">
        <v>537</v>
      </c>
      <c r="AH15" s="476" t="s">
        <v>465</v>
      </c>
      <c r="AI15" s="437" t="s">
        <v>535</v>
      </c>
      <c r="AJ15" s="436" t="s">
        <v>513</v>
      </c>
      <c r="AK15" s="435" t="s">
        <v>536</v>
      </c>
      <c r="AL15" s="436" t="s">
        <v>514</v>
      </c>
      <c r="AM15" s="435" t="s">
        <v>538</v>
      </c>
      <c r="AN15" s="435" t="s">
        <v>515</v>
      </c>
      <c r="AO15" s="435" t="s">
        <v>477</v>
      </c>
      <c r="AP15" s="435" t="s">
        <v>467</v>
      </c>
      <c r="AQ15" s="437" t="s">
        <v>472</v>
      </c>
      <c r="AR15" s="435" t="s">
        <v>442</v>
      </c>
      <c r="AS15" s="435" t="s">
        <v>539</v>
      </c>
      <c r="AV15" s="434"/>
      <c r="AW15" s="434"/>
      <c r="AX15" s="438"/>
      <c r="AY15" s="434"/>
    </row>
    <row r="16" spans="1:57" x14ac:dyDescent="0.2">
      <c r="A16" s="434">
        <v>4031</v>
      </c>
      <c r="B16" s="435" t="s">
        <v>43</v>
      </c>
      <c r="D16" s="435" t="s">
        <v>4</v>
      </c>
      <c r="F16" s="436" t="s">
        <v>421</v>
      </c>
      <c r="H16" s="436" t="s">
        <v>459</v>
      </c>
      <c r="K16" s="436" t="s">
        <v>462</v>
      </c>
      <c r="L16" s="436" t="s">
        <v>462</v>
      </c>
      <c r="M16" s="436" t="s">
        <v>462</v>
      </c>
      <c r="N16" s="436" t="s">
        <v>462</v>
      </c>
      <c r="O16" s="436" t="s">
        <v>462</v>
      </c>
      <c r="P16" s="435" t="s">
        <v>462</v>
      </c>
      <c r="Q16" s="435" t="s">
        <v>462</v>
      </c>
      <c r="R16" s="435" t="s">
        <v>462</v>
      </c>
      <c r="S16" s="435" t="s">
        <v>462</v>
      </c>
      <c r="T16" s="435" t="s">
        <v>462</v>
      </c>
      <c r="U16" s="435" t="s">
        <v>462</v>
      </c>
      <c r="V16" s="435" t="s">
        <v>680</v>
      </c>
      <c r="W16" s="435" t="s">
        <v>462</v>
      </c>
      <c r="X16" s="435" t="s">
        <v>462</v>
      </c>
      <c r="Y16" s="435" t="s">
        <v>462</v>
      </c>
      <c r="Z16" s="435" t="s">
        <v>462</v>
      </c>
      <c r="AA16" s="435" t="s">
        <v>462</v>
      </c>
      <c r="AB16" s="435" t="s">
        <v>462</v>
      </c>
      <c r="AC16" s="436" t="s">
        <v>462</v>
      </c>
      <c r="AD16" s="435" t="s">
        <v>462</v>
      </c>
      <c r="AE16" s="435" t="s">
        <v>462</v>
      </c>
      <c r="AF16" s="435" t="s">
        <v>270</v>
      </c>
      <c r="AG16" s="436" t="s">
        <v>462</v>
      </c>
      <c r="AH16" s="476" t="s">
        <v>465</v>
      </c>
      <c r="AI16" s="437" t="s">
        <v>462</v>
      </c>
      <c r="AJ16" s="436" t="s">
        <v>513</v>
      </c>
      <c r="AK16" s="435" t="s">
        <v>462</v>
      </c>
      <c r="AL16" s="436" t="s">
        <v>514</v>
      </c>
      <c r="AM16" s="435" t="s">
        <v>462</v>
      </c>
      <c r="AN16" s="435" t="s">
        <v>515</v>
      </c>
      <c r="AO16" s="435" t="s">
        <v>462</v>
      </c>
      <c r="AP16" s="435" t="s">
        <v>467</v>
      </c>
      <c r="AQ16" s="437" t="s">
        <v>472</v>
      </c>
      <c r="AR16" s="435" t="s">
        <v>442</v>
      </c>
      <c r="AS16" s="435" t="s">
        <v>462</v>
      </c>
      <c r="AV16" s="434" t="s">
        <v>368</v>
      </c>
      <c r="AW16" s="434" t="s">
        <v>369</v>
      </c>
      <c r="AX16" s="438">
        <v>0.1484</v>
      </c>
      <c r="AY16" s="434"/>
      <c r="AZ16" s="435" t="s">
        <v>334</v>
      </c>
      <c r="BB16" s="435" t="s">
        <v>442</v>
      </c>
      <c r="BC16" s="435" t="s">
        <v>204</v>
      </c>
    </row>
    <row r="17" spans="1:55" x14ac:dyDescent="0.2">
      <c r="A17" s="434">
        <v>4041</v>
      </c>
      <c r="B17" s="435" t="s">
        <v>307</v>
      </c>
      <c r="C17" s="477"/>
      <c r="D17" s="435" t="s">
        <v>4</v>
      </c>
      <c r="E17" s="477"/>
      <c r="F17" s="436" t="s">
        <v>421</v>
      </c>
      <c r="G17" s="477"/>
      <c r="H17" s="436" t="s">
        <v>459</v>
      </c>
      <c r="I17" s="477"/>
      <c r="J17" s="477"/>
      <c r="K17" s="436" t="s">
        <v>462</v>
      </c>
      <c r="L17" s="436" t="s">
        <v>462</v>
      </c>
      <c r="M17" s="436" t="s">
        <v>462</v>
      </c>
      <c r="N17" s="436" t="s">
        <v>462</v>
      </c>
      <c r="O17" s="436" t="s">
        <v>462</v>
      </c>
      <c r="P17" s="435" t="s">
        <v>462</v>
      </c>
      <c r="Q17" s="435" t="s">
        <v>462</v>
      </c>
      <c r="R17" s="435" t="s">
        <v>462</v>
      </c>
      <c r="S17" s="435" t="s">
        <v>462</v>
      </c>
      <c r="T17" s="435" t="s">
        <v>462</v>
      </c>
      <c r="U17" s="435" t="s">
        <v>462</v>
      </c>
      <c r="V17" s="435" t="s">
        <v>680</v>
      </c>
      <c r="W17" s="435" t="s">
        <v>462</v>
      </c>
      <c r="X17" s="435" t="s">
        <v>462</v>
      </c>
      <c r="Y17" s="435" t="s">
        <v>462</v>
      </c>
      <c r="Z17" s="435" t="s">
        <v>462</v>
      </c>
      <c r="AA17" s="435" t="s">
        <v>462</v>
      </c>
      <c r="AB17" s="435" t="s">
        <v>462</v>
      </c>
      <c r="AC17" s="436" t="s">
        <v>462</v>
      </c>
      <c r="AD17" s="435" t="s">
        <v>462</v>
      </c>
      <c r="AE17" s="435" t="s">
        <v>462</v>
      </c>
      <c r="AF17" s="435" t="s">
        <v>270</v>
      </c>
      <c r="AG17" s="436" t="s">
        <v>462</v>
      </c>
      <c r="AH17" s="476" t="s">
        <v>465</v>
      </c>
      <c r="AI17" s="437" t="s">
        <v>462</v>
      </c>
      <c r="AJ17" s="436" t="s">
        <v>513</v>
      </c>
      <c r="AK17" s="435" t="s">
        <v>462</v>
      </c>
      <c r="AL17" s="436" t="s">
        <v>514</v>
      </c>
      <c r="AM17" s="435" t="s">
        <v>462</v>
      </c>
      <c r="AN17" s="435" t="s">
        <v>515</v>
      </c>
      <c r="AO17" s="435" t="s">
        <v>462</v>
      </c>
      <c r="AP17" s="435" t="s">
        <v>467</v>
      </c>
      <c r="AQ17" s="437" t="s">
        <v>472</v>
      </c>
      <c r="AR17" s="435" t="s">
        <v>442</v>
      </c>
      <c r="AS17" s="435" t="s">
        <v>462</v>
      </c>
      <c r="AU17" s="477"/>
      <c r="AV17" s="434" t="s">
        <v>370</v>
      </c>
      <c r="AW17" s="478"/>
      <c r="AX17" s="479">
        <v>0.16370000000000001</v>
      </c>
      <c r="AY17" s="478" t="s">
        <v>343</v>
      </c>
      <c r="AZ17" s="435" t="s">
        <v>371</v>
      </c>
      <c r="BA17" s="477"/>
      <c r="BB17" s="435" t="s">
        <v>442</v>
      </c>
      <c r="BC17" s="477" t="s">
        <v>206</v>
      </c>
    </row>
    <row r="18" spans="1:55" x14ac:dyDescent="0.2">
      <c r="A18" s="434">
        <v>4101</v>
      </c>
      <c r="B18" s="435" t="s">
        <v>520</v>
      </c>
      <c r="C18" s="435" t="s">
        <v>521</v>
      </c>
      <c r="D18" s="435" t="s">
        <v>522</v>
      </c>
      <c r="E18" s="435" t="s">
        <v>524</v>
      </c>
      <c r="F18" s="435" t="s">
        <v>523</v>
      </c>
      <c r="G18" s="435" t="s">
        <v>526</v>
      </c>
      <c r="H18" s="435" t="s">
        <v>525</v>
      </c>
      <c r="I18" s="435" t="s">
        <v>527</v>
      </c>
      <c r="J18" s="435" t="s">
        <v>528</v>
      </c>
      <c r="K18" s="435" t="s">
        <v>529</v>
      </c>
      <c r="L18" s="436" t="s">
        <v>421</v>
      </c>
      <c r="M18" s="435" t="s">
        <v>507</v>
      </c>
      <c r="N18" s="436" t="s">
        <v>459</v>
      </c>
      <c r="O18" s="435" t="s">
        <v>530</v>
      </c>
      <c r="P18" s="435" t="s">
        <v>459</v>
      </c>
      <c r="Q18" s="435" t="s">
        <v>510</v>
      </c>
      <c r="R18" s="435" t="s">
        <v>462</v>
      </c>
      <c r="S18" s="435" t="s">
        <v>462</v>
      </c>
      <c r="T18" s="435" t="s">
        <v>462</v>
      </c>
      <c r="U18" s="435" t="s">
        <v>462</v>
      </c>
      <c r="V18" s="435" t="s">
        <v>680</v>
      </c>
      <c r="W18" s="435" t="s">
        <v>682</v>
      </c>
      <c r="X18" s="435" t="s">
        <v>462</v>
      </c>
      <c r="Y18" s="435" t="s">
        <v>462</v>
      </c>
      <c r="Z18" s="435" t="s">
        <v>462</v>
      </c>
      <c r="AA18" s="435" t="s">
        <v>462</v>
      </c>
      <c r="AB18" s="435" t="s">
        <v>462</v>
      </c>
      <c r="AC18" s="436" t="s">
        <v>462</v>
      </c>
      <c r="AD18" s="435" t="s">
        <v>462</v>
      </c>
      <c r="AE18" s="435" t="s">
        <v>462</v>
      </c>
      <c r="AF18" s="435" t="s">
        <v>270</v>
      </c>
      <c r="AG18" s="436" t="s">
        <v>531</v>
      </c>
      <c r="AH18" s="437" t="s">
        <v>465</v>
      </c>
      <c r="AI18" s="435" t="s">
        <v>532</v>
      </c>
      <c r="AJ18" s="436" t="s">
        <v>513</v>
      </c>
      <c r="AK18" s="435" t="s">
        <v>452</v>
      </c>
      <c r="AL18" s="436" t="s">
        <v>514</v>
      </c>
      <c r="AM18" s="435" t="s">
        <v>452</v>
      </c>
      <c r="AN18" s="435" t="s">
        <v>515</v>
      </c>
      <c r="AO18" s="435" t="s">
        <v>477</v>
      </c>
      <c r="AP18" s="435" t="s">
        <v>467</v>
      </c>
      <c r="AQ18" s="437" t="s">
        <v>472</v>
      </c>
      <c r="AR18" s="435" t="s">
        <v>442</v>
      </c>
      <c r="AS18" s="435" t="s">
        <v>519</v>
      </c>
      <c r="AV18" s="434"/>
      <c r="AW18" s="434"/>
      <c r="AX18" s="438"/>
      <c r="AY18" s="434"/>
    </row>
    <row r="19" spans="1:55" x14ac:dyDescent="0.2">
      <c r="A19" s="434">
        <v>4141</v>
      </c>
      <c r="B19" s="435" t="s">
        <v>44</v>
      </c>
      <c r="C19" s="435" t="s">
        <v>309</v>
      </c>
      <c r="D19" s="435" t="s">
        <v>4</v>
      </c>
      <c r="F19" s="436" t="s">
        <v>421</v>
      </c>
      <c r="H19" s="436" t="s">
        <v>459</v>
      </c>
      <c r="J19" s="436" t="s">
        <v>462</v>
      </c>
      <c r="K19" s="436" t="s">
        <v>462</v>
      </c>
      <c r="L19" s="436" t="s">
        <v>462</v>
      </c>
      <c r="M19" s="436" t="s">
        <v>462</v>
      </c>
      <c r="N19" s="436" t="s">
        <v>462</v>
      </c>
      <c r="O19" s="436" t="s">
        <v>462</v>
      </c>
      <c r="P19" s="435" t="s">
        <v>462</v>
      </c>
      <c r="Q19" s="435" t="s">
        <v>462</v>
      </c>
      <c r="R19" s="435" t="s">
        <v>462</v>
      </c>
      <c r="S19" s="435" t="s">
        <v>462</v>
      </c>
      <c r="T19" s="435" t="s">
        <v>462</v>
      </c>
      <c r="U19" s="435" t="s">
        <v>462</v>
      </c>
      <c r="V19" s="435" t="s">
        <v>680</v>
      </c>
      <c r="W19" s="435" t="s">
        <v>682</v>
      </c>
      <c r="X19" s="435" t="s">
        <v>462</v>
      </c>
      <c r="Y19" s="435" t="s">
        <v>681</v>
      </c>
      <c r="Z19" s="435" t="s">
        <v>462</v>
      </c>
      <c r="AA19" s="435" t="s">
        <v>684</v>
      </c>
      <c r="AB19" s="435" t="s">
        <v>462</v>
      </c>
      <c r="AC19" s="436" t="s">
        <v>462</v>
      </c>
      <c r="AD19" s="435" t="s">
        <v>462</v>
      </c>
      <c r="AE19" s="435" t="s">
        <v>462</v>
      </c>
      <c r="AF19" s="435" t="s">
        <v>270</v>
      </c>
      <c r="AG19" s="436" t="s">
        <v>462</v>
      </c>
      <c r="AH19" s="476" t="s">
        <v>465</v>
      </c>
      <c r="AI19" s="437" t="s">
        <v>462</v>
      </c>
      <c r="AJ19" s="436" t="s">
        <v>513</v>
      </c>
      <c r="AK19" s="435" t="s">
        <v>462</v>
      </c>
      <c r="AL19" s="436" t="s">
        <v>514</v>
      </c>
      <c r="AM19" s="435" t="s">
        <v>462</v>
      </c>
      <c r="AN19" s="435" t="s">
        <v>515</v>
      </c>
      <c r="AO19" s="435" t="s">
        <v>462</v>
      </c>
      <c r="AP19" s="435" t="s">
        <v>467</v>
      </c>
      <c r="AQ19" s="437" t="s">
        <v>475</v>
      </c>
      <c r="AR19" s="435" t="s">
        <v>442</v>
      </c>
      <c r="AS19" s="435" t="s">
        <v>462</v>
      </c>
      <c r="AV19" s="434" t="s">
        <v>372</v>
      </c>
      <c r="AW19" s="436" t="s">
        <v>373</v>
      </c>
      <c r="AX19" s="438"/>
      <c r="AY19" s="438"/>
      <c r="BB19" s="435" t="s">
        <v>442</v>
      </c>
      <c r="BC19" s="435" t="s">
        <v>205</v>
      </c>
    </row>
    <row r="20" spans="1:55" x14ac:dyDescent="0.2">
      <c r="A20" s="434">
        <v>4151</v>
      </c>
      <c r="B20" s="435" t="s">
        <v>45</v>
      </c>
      <c r="C20" s="435" t="s">
        <v>310</v>
      </c>
      <c r="D20" s="435" t="s">
        <v>4</v>
      </c>
      <c r="F20" s="436" t="s">
        <v>421</v>
      </c>
      <c r="H20" s="436" t="s">
        <v>459</v>
      </c>
      <c r="J20" s="436" t="s">
        <v>462</v>
      </c>
      <c r="K20" s="436" t="s">
        <v>462</v>
      </c>
      <c r="L20" s="436" t="s">
        <v>462</v>
      </c>
      <c r="M20" s="436" t="s">
        <v>462</v>
      </c>
      <c r="N20" s="436" t="s">
        <v>462</v>
      </c>
      <c r="O20" s="436" t="s">
        <v>462</v>
      </c>
      <c r="P20" s="435" t="s">
        <v>462</v>
      </c>
      <c r="Q20" s="435" t="s">
        <v>462</v>
      </c>
      <c r="R20" s="435" t="s">
        <v>462</v>
      </c>
      <c r="S20" s="435" t="s">
        <v>462</v>
      </c>
      <c r="T20" s="435" t="s">
        <v>462</v>
      </c>
      <c r="U20" s="435" t="s">
        <v>462</v>
      </c>
      <c r="V20" s="435" t="s">
        <v>680</v>
      </c>
      <c r="W20" s="435" t="s">
        <v>462</v>
      </c>
      <c r="X20" s="435" t="s">
        <v>462</v>
      </c>
      <c r="Y20" s="435" t="s">
        <v>462</v>
      </c>
      <c r="Z20" s="435" t="s">
        <v>462</v>
      </c>
      <c r="AA20" s="435" t="s">
        <v>462</v>
      </c>
      <c r="AB20" s="435" t="s">
        <v>462</v>
      </c>
      <c r="AC20" s="436" t="s">
        <v>462</v>
      </c>
      <c r="AD20" s="435" t="s">
        <v>462</v>
      </c>
      <c r="AE20" s="435" t="s">
        <v>462</v>
      </c>
      <c r="AF20" s="435" t="s">
        <v>270</v>
      </c>
      <c r="AG20" s="436" t="s">
        <v>462</v>
      </c>
      <c r="AH20" s="476" t="s">
        <v>465</v>
      </c>
      <c r="AI20" s="437" t="s">
        <v>462</v>
      </c>
      <c r="AJ20" s="436" t="s">
        <v>513</v>
      </c>
      <c r="AK20" s="435" t="s">
        <v>462</v>
      </c>
      <c r="AL20" s="436" t="s">
        <v>514</v>
      </c>
      <c r="AM20" s="435" t="s">
        <v>462</v>
      </c>
      <c r="AN20" s="435" t="s">
        <v>515</v>
      </c>
      <c r="AO20" s="435" t="s">
        <v>462</v>
      </c>
      <c r="AP20" s="435" t="s">
        <v>467</v>
      </c>
      <c r="AQ20" s="437" t="s">
        <v>474</v>
      </c>
      <c r="AR20" s="435" t="s">
        <v>442</v>
      </c>
      <c r="AS20" s="435" t="s">
        <v>462</v>
      </c>
      <c r="AV20" s="434"/>
      <c r="AW20" s="434"/>
      <c r="AX20" s="434"/>
      <c r="AY20" s="434"/>
      <c r="BB20" s="435" t="s">
        <v>442</v>
      </c>
      <c r="BC20" s="435" t="s">
        <v>205</v>
      </c>
    </row>
    <row r="21" spans="1:55" x14ac:dyDescent="0.2">
      <c r="A21" s="434">
        <v>4401</v>
      </c>
      <c r="B21" s="435" t="s">
        <v>319</v>
      </c>
      <c r="D21" s="435" t="s">
        <v>4</v>
      </c>
      <c r="F21" s="436" t="s">
        <v>421</v>
      </c>
      <c r="H21" s="436" t="s">
        <v>459</v>
      </c>
      <c r="J21" s="436" t="s">
        <v>462</v>
      </c>
      <c r="K21" s="436" t="s">
        <v>462</v>
      </c>
      <c r="L21" s="436" t="s">
        <v>462</v>
      </c>
      <c r="M21" s="436" t="s">
        <v>462</v>
      </c>
      <c r="N21" s="436" t="s">
        <v>462</v>
      </c>
      <c r="O21" s="436" t="s">
        <v>462</v>
      </c>
      <c r="P21" s="435" t="s">
        <v>462</v>
      </c>
      <c r="Q21" s="435" t="s">
        <v>462</v>
      </c>
      <c r="R21" s="435" t="s">
        <v>462</v>
      </c>
      <c r="S21" s="435" t="s">
        <v>462</v>
      </c>
      <c r="T21" s="435" t="s">
        <v>462</v>
      </c>
      <c r="U21" s="435" t="s">
        <v>462</v>
      </c>
      <c r="V21" s="435" t="s">
        <v>680</v>
      </c>
      <c r="W21" s="435" t="s">
        <v>462</v>
      </c>
      <c r="X21" s="435" t="s">
        <v>462</v>
      </c>
      <c r="Y21" s="435" t="s">
        <v>462</v>
      </c>
      <c r="Z21" s="435" t="s">
        <v>462</v>
      </c>
      <c r="AA21" s="435" t="s">
        <v>462</v>
      </c>
      <c r="AB21" s="435" t="s">
        <v>462</v>
      </c>
      <c r="AC21" s="436" t="s">
        <v>462</v>
      </c>
      <c r="AD21" s="435" t="s">
        <v>462</v>
      </c>
      <c r="AE21" s="435" t="s">
        <v>462</v>
      </c>
      <c r="AF21" s="435" t="s">
        <v>270</v>
      </c>
      <c r="AG21" s="436" t="s">
        <v>462</v>
      </c>
      <c r="AH21" s="476" t="s">
        <v>465</v>
      </c>
      <c r="AI21" s="437" t="s">
        <v>462</v>
      </c>
      <c r="AJ21" s="436" t="s">
        <v>513</v>
      </c>
      <c r="AK21" s="435" t="s">
        <v>462</v>
      </c>
      <c r="AL21" s="436" t="s">
        <v>514</v>
      </c>
      <c r="AM21" s="435" t="s">
        <v>462</v>
      </c>
      <c r="AN21" s="435" t="s">
        <v>515</v>
      </c>
      <c r="AO21" s="435" t="s">
        <v>462</v>
      </c>
      <c r="AP21" s="435" t="s">
        <v>467</v>
      </c>
      <c r="AQ21" s="437" t="s">
        <v>472</v>
      </c>
      <c r="AR21" s="435" t="s">
        <v>442</v>
      </c>
      <c r="AS21" s="435" t="s">
        <v>462</v>
      </c>
      <c r="AV21" s="434"/>
      <c r="AW21" s="434"/>
      <c r="AX21" s="434"/>
      <c r="AY21" s="434"/>
      <c r="BB21" s="435" t="s">
        <v>442</v>
      </c>
      <c r="BC21" s="435" t="s">
        <v>318</v>
      </c>
    </row>
    <row r="22" spans="1:55" x14ac:dyDescent="0.2">
      <c r="A22" s="434">
        <v>4501</v>
      </c>
      <c r="B22" s="435" t="s">
        <v>227</v>
      </c>
      <c r="D22" s="435" t="s">
        <v>4</v>
      </c>
      <c r="F22" s="436" t="s">
        <v>421</v>
      </c>
      <c r="H22" s="436" t="s">
        <v>459</v>
      </c>
      <c r="J22" s="436" t="s">
        <v>462</v>
      </c>
      <c r="K22" s="436" t="s">
        <v>462</v>
      </c>
      <c r="L22" s="436" t="s">
        <v>462</v>
      </c>
      <c r="M22" s="436" t="s">
        <v>462</v>
      </c>
      <c r="N22" s="436" t="s">
        <v>462</v>
      </c>
      <c r="O22" s="436" t="s">
        <v>462</v>
      </c>
      <c r="P22" s="435" t="s">
        <v>462</v>
      </c>
      <c r="Q22" s="435" t="s">
        <v>462</v>
      </c>
      <c r="R22" s="435" t="s">
        <v>462</v>
      </c>
      <c r="S22" s="435" t="s">
        <v>462</v>
      </c>
      <c r="T22" s="435" t="s">
        <v>462</v>
      </c>
      <c r="U22" s="435" t="s">
        <v>462</v>
      </c>
      <c r="V22" s="435" t="s">
        <v>680</v>
      </c>
      <c r="W22" s="435" t="s">
        <v>462</v>
      </c>
      <c r="X22" s="435" t="s">
        <v>462</v>
      </c>
      <c r="Y22" s="435" t="s">
        <v>462</v>
      </c>
      <c r="Z22" s="435" t="s">
        <v>462</v>
      </c>
      <c r="AA22" s="435" t="s">
        <v>462</v>
      </c>
      <c r="AB22" s="435" t="s">
        <v>462</v>
      </c>
      <c r="AC22" s="436" t="s">
        <v>462</v>
      </c>
      <c r="AD22" s="435" t="s">
        <v>462</v>
      </c>
      <c r="AE22" s="435" t="s">
        <v>462</v>
      </c>
      <c r="AF22" s="435" t="s">
        <v>270</v>
      </c>
      <c r="AG22" s="436" t="s">
        <v>462</v>
      </c>
      <c r="AH22" s="476" t="s">
        <v>465</v>
      </c>
      <c r="AI22" s="437" t="s">
        <v>462</v>
      </c>
      <c r="AJ22" s="436" t="s">
        <v>513</v>
      </c>
      <c r="AK22" s="435" t="s">
        <v>462</v>
      </c>
      <c r="AL22" s="436" t="s">
        <v>514</v>
      </c>
      <c r="AM22" s="435" t="s">
        <v>462</v>
      </c>
      <c r="AN22" s="435" t="s">
        <v>515</v>
      </c>
      <c r="AO22" s="435" t="s">
        <v>462</v>
      </c>
      <c r="AP22" s="435" t="s">
        <v>467</v>
      </c>
      <c r="AQ22" s="437" t="s">
        <v>472</v>
      </c>
      <c r="AR22" s="435" t="s">
        <v>442</v>
      </c>
      <c r="AS22" s="435" t="s">
        <v>462</v>
      </c>
      <c r="AV22" s="434"/>
      <c r="AW22" s="434"/>
      <c r="AX22" s="434"/>
      <c r="AY22" s="434"/>
      <c r="BB22" s="435" t="s">
        <v>442</v>
      </c>
      <c r="BC22" s="435" t="s">
        <v>228</v>
      </c>
    </row>
    <row r="23" spans="1:55" x14ac:dyDescent="0.2">
      <c r="A23" s="434">
        <v>5001</v>
      </c>
      <c r="B23" s="435" t="s">
        <v>225</v>
      </c>
      <c r="D23" s="435" t="s">
        <v>4</v>
      </c>
      <c r="F23" s="436" t="s">
        <v>421</v>
      </c>
      <c r="H23" s="436" t="s">
        <v>459</v>
      </c>
      <c r="J23" s="436" t="s">
        <v>704</v>
      </c>
      <c r="K23" s="436" t="s">
        <v>713</v>
      </c>
      <c r="L23" s="436" t="s">
        <v>714</v>
      </c>
      <c r="M23" s="436" t="s">
        <v>715</v>
      </c>
      <c r="N23" s="436" t="s">
        <v>716</v>
      </c>
      <c r="O23" s="436" t="s">
        <v>462</v>
      </c>
      <c r="P23" s="435" t="s">
        <v>462</v>
      </c>
      <c r="Q23" s="435" t="s">
        <v>462</v>
      </c>
      <c r="R23" s="435" t="s">
        <v>462</v>
      </c>
      <c r="S23" s="435" t="s">
        <v>462</v>
      </c>
      <c r="T23" s="435" t="s">
        <v>462</v>
      </c>
      <c r="U23" s="435" t="s">
        <v>462</v>
      </c>
      <c r="V23" s="435" t="s">
        <v>680</v>
      </c>
      <c r="W23" s="435" t="s">
        <v>682</v>
      </c>
      <c r="X23" s="435" t="s">
        <v>462</v>
      </c>
      <c r="Y23" s="435" t="s">
        <v>462</v>
      </c>
      <c r="Z23" s="435" t="s">
        <v>462</v>
      </c>
      <c r="AA23" s="435" t="s">
        <v>462</v>
      </c>
      <c r="AB23" s="435" t="s">
        <v>462</v>
      </c>
      <c r="AC23" s="436" t="s">
        <v>462</v>
      </c>
      <c r="AD23" s="435" t="s">
        <v>270</v>
      </c>
      <c r="AE23" s="436" t="s">
        <v>616</v>
      </c>
      <c r="AF23" s="435" t="s">
        <v>617</v>
      </c>
      <c r="AG23" s="436" t="s">
        <v>618</v>
      </c>
      <c r="AH23" s="476" t="s">
        <v>465</v>
      </c>
      <c r="AI23" s="437" t="s">
        <v>614</v>
      </c>
      <c r="AJ23" s="436" t="s">
        <v>513</v>
      </c>
      <c r="AK23" s="435" t="s">
        <v>619</v>
      </c>
      <c r="AL23" s="436" t="s">
        <v>514</v>
      </c>
      <c r="AM23" s="435" t="s">
        <v>620</v>
      </c>
      <c r="AN23" s="435" t="s">
        <v>515</v>
      </c>
      <c r="AO23" s="435" t="s">
        <v>477</v>
      </c>
      <c r="AP23" s="435" t="s">
        <v>467</v>
      </c>
      <c r="AQ23" s="437" t="s">
        <v>476</v>
      </c>
      <c r="AR23" s="435" t="s">
        <v>442</v>
      </c>
      <c r="AS23" s="435" t="s">
        <v>207</v>
      </c>
      <c r="AV23" s="434"/>
      <c r="AW23" s="434"/>
      <c r="AX23" s="438"/>
      <c r="AY23" s="438"/>
    </row>
    <row r="24" spans="1:55" x14ac:dyDescent="0.2">
      <c r="A24" s="434">
        <v>5002</v>
      </c>
      <c r="B24" s="435" t="s">
        <v>226</v>
      </c>
      <c r="D24" s="435" t="s">
        <v>4</v>
      </c>
      <c r="F24" s="436" t="s">
        <v>421</v>
      </c>
      <c r="H24" s="436" t="s">
        <v>459</v>
      </c>
      <c r="J24" s="436" t="s">
        <v>462</v>
      </c>
      <c r="K24" s="436" t="s">
        <v>462</v>
      </c>
      <c r="L24" s="436" t="s">
        <v>462</v>
      </c>
      <c r="M24" s="436" t="s">
        <v>462</v>
      </c>
      <c r="N24" s="436" t="s">
        <v>462</v>
      </c>
      <c r="O24" s="436" t="s">
        <v>462</v>
      </c>
      <c r="P24" s="435" t="s">
        <v>462</v>
      </c>
      <c r="Q24" s="435" t="s">
        <v>462</v>
      </c>
      <c r="R24" s="435" t="s">
        <v>462</v>
      </c>
      <c r="S24" s="435" t="s">
        <v>462</v>
      </c>
      <c r="T24" s="435" t="s">
        <v>462</v>
      </c>
      <c r="U24" s="435" t="s">
        <v>462</v>
      </c>
      <c r="V24" s="435" t="s">
        <v>680</v>
      </c>
      <c r="W24" s="435" t="s">
        <v>462</v>
      </c>
      <c r="X24" s="435" t="s">
        <v>462</v>
      </c>
      <c r="Y24" s="435" t="s">
        <v>462</v>
      </c>
      <c r="Z24" s="435" t="s">
        <v>462</v>
      </c>
      <c r="AA24" s="435" t="s">
        <v>462</v>
      </c>
      <c r="AB24" s="435" t="s">
        <v>462</v>
      </c>
      <c r="AC24" s="436" t="s">
        <v>462</v>
      </c>
      <c r="AD24" s="435" t="s">
        <v>270</v>
      </c>
      <c r="AE24" s="436" t="s">
        <v>616</v>
      </c>
      <c r="AF24" s="435" t="s">
        <v>621</v>
      </c>
      <c r="AG24" s="436" t="s">
        <v>622</v>
      </c>
      <c r="AH24" s="476" t="s">
        <v>465</v>
      </c>
      <c r="AI24" s="437" t="s">
        <v>614</v>
      </c>
      <c r="AJ24" s="436" t="s">
        <v>513</v>
      </c>
      <c r="AK24" s="435" t="s">
        <v>619</v>
      </c>
      <c r="AL24" s="436" t="s">
        <v>514</v>
      </c>
      <c r="AM24" s="435" t="s">
        <v>620</v>
      </c>
      <c r="AN24" s="435" t="s">
        <v>515</v>
      </c>
      <c r="AO24" s="435" t="s">
        <v>462</v>
      </c>
      <c r="AP24" s="435" t="s">
        <v>467</v>
      </c>
      <c r="AQ24" s="437" t="s">
        <v>476</v>
      </c>
      <c r="AR24" s="435" t="s">
        <v>442</v>
      </c>
      <c r="AS24" s="435" t="s">
        <v>207</v>
      </c>
      <c r="AV24" s="434"/>
      <c r="AW24" s="434"/>
      <c r="AX24" s="438"/>
      <c r="AY24" s="438"/>
    </row>
    <row r="25" spans="1:55" x14ac:dyDescent="0.2">
      <c r="A25" s="434">
        <v>5062</v>
      </c>
      <c r="B25" s="435" t="s">
        <v>623</v>
      </c>
      <c r="C25" s="435" t="s">
        <v>633</v>
      </c>
      <c r="D25" s="435" t="s">
        <v>4</v>
      </c>
      <c r="E25" s="435" t="s">
        <v>624</v>
      </c>
      <c r="F25" s="436" t="s">
        <v>421</v>
      </c>
      <c r="G25" s="435" t="s">
        <v>628</v>
      </c>
      <c r="H25" s="436" t="s">
        <v>421</v>
      </c>
      <c r="I25" s="435" t="s">
        <v>625</v>
      </c>
      <c r="J25" s="436" t="s">
        <v>626</v>
      </c>
      <c r="K25" s="436" t="s">
        <v>627</v>
      </c>
      <c r="L25" s="436" t="s">
        <v>632</v>
      </c>
      <c r="M25" s="436" t="s">
        <v>629</v>
      </c>
      <c r="N25" s="436" t="s">
        <v>632</v>
      </c>
      <c r="O25" s="436" t="s">
        <v>630</v>
      </c>
      <c r="P25" s="436" t="s">
        <v>632</v>
      </c>
      <c r="Q25" s="435" t="s">
        <v>631</v>
      </c>
      <c r="R25" s="435" t="s">
        <v>459</v>
      </c>
      <c r="S25" s="435" t="s">
        <v>724</v>
      </c>
      <c r="T25" s="435" t="s">
        <v>462</v>
      </c>
      <c r="U25" s="435" t="s">
        <v>462</v>
      </c>
      <c r="V25" s="435" t="s">
        <v>680</v>
      </c>
      <c r="W25" s="435" t="s">
        <v>682</v>
      </c>
      <c r="X25" s="435" t="s">
        <v>462</v>
      </c>
      <c r="Y25" s="435" t="s">
        <v>462</v>
      </c>
      <c r="Z25" s="435" t="s">
        <v>462</v>
      </c>
      <c r="AA25" s="435" t="s">
        <v>462</v>
      </c>
      <c r="AB25" s="435" t="s">
        <v>462</v>
      </c>
      <c r="AC25" s="436" t="s">
        <v>462</v>
      </c>
      <c r="AD25" s="435" t="s">
        <v>270</v>
      </c>
      <c r="AE25" s="436" t="s">
        <v>616</v>
      </c>
      <c r="AF25" s="435" t="s">
        <v>617</v>
      </c>
      <c r="AG25" s="436" t="s">
        <v>618</v>
      </c>
      <c r="AH25" s="476" t="s">
        <v>465</v>
      </c>
      <c r="AI25" s="437" t="s">
        <v>614</v>
      </c>
      <c r="AJ25" s="436" t="s">
        <v>513</v>
      </c>
      <c r="AK25" s="435" t="s">
        <v>619</v>
      </c>
      <c r="AL25" s="436" t="s">
        <v>514</v>
      </c>
      <c r="AM25" s="435" t="s">
        <v>620</v>
      </c>
      <c r="AN25" s="435" t="s">
        <v>515</v>
      </c>
      <c r="AO25" s="435" t="s">
        <v>477</v>
      </c>
      <c r="AP25" s="435" t="s">
        <v>467</v>
      </c>
      <c r="AQ25" s="437" t="s">
        <v>476</v>
      </c>
      <c r="AR25" s="435" t="s">
        <v>442</v>
      </c>
      <c r="AS25" s="435" t="s">
        <v>208</v>
      </c>
      <c r="AV25" s="434"/>
      <c r="AW25" s="434"/>
      <c r="AX25" s="434"/>
      <c r="AY25" s="434"/>
    </row>
    <row r="26" spans="1:55" x14ac:dyDescent="0.2">
      <c r="A26" s="434">
        <v>5065</v>
      </c>
      <c r="B26" s="435" t="s">
        <v>453</v>
      </c>
      <c r="C26" s="435" t="s">
        <v>454</v>
      </c>
      <c r="D26" s="435" t="s">
        <v>4</v>
      </c>
      <c r="E26" s="435" t="s">
        <v>634</v>
      </c>
      <c r="F26" s="436" t="s">
        <v>421</v>
      </c>
      <c r="G26" s="435" t="s">
        <v>511</v>
      </c>
      <c r="H26" s="436" t="s">
        <v>459</v>
      </c>
      <c r="I26" s="435" t="s">
        <v>511</v>
      </c>
      <c r="J26" s="436"/>
      <c r="K26" s="436"/>
      <c r="L26" s="436"/>
      <c r="M26" s="436"/>
      <c r="N26" s="436"/>
      <c r="O26" s="436"/>
      <c r="P26" s="436"/>
      <c r="R26" s="435" t="s">
        <v>462</v>
      </c>
      <c r="S26" s="435" t="s">
        <v>462</v>
      </c>
      <c r="T26" s="435" t="s">
        <v>462</v>
      </c>
      <c r="V26" s="435" t="s">
        <v>680</v>
      </c>
      <c r="W26" s="435" t="s">
        <v>462</v>
      </c>
      <c r="X26" s="435" t="s">
        <v>462</v>
      </c>
      <c r="Y26" s="435" t="s">
        <v>462</v>
      </c>
      <c r="Z26" s="435" t="s">
        <v>462</v>
      </c>
      <c r="AA26" s="435" t="s">
        <v>462</v>
      </c>
      <c r="AB26" s="435" t="s">
        <v>462</v>
      </c>
      <c r="AC26" s="436" t="s">
        <v>462</v>
      </c>
      <c r="AD26" s="435" t="s">
        <v>270</v>
      </c>
      <c r="AE26" s="436" t="s">
        <v>616</v>
      </c>
      <c r="AF26" s="435" t="s">
        <v>617</v>
      </c>
      <c r="AG26" s="436" t="s">
        <v>618</v>
      </c>
      <c r="AH26" s="476" t="s">
        <v>465</v>
      </c>
      <c r="AI26" s="437" t="s">
        <v>614</v>
      </c>
      <c r="AJ26" s="436" t="s">
        <v>513</v>
      </c>
      <c r="AK26" s="435" t="s">
        <v>619</v>
      </c>
      <c r="AL26" s="436" t="s">
        <v>514</v>
      </c>
      <c r="AM26" s="435" t="s">
        <v>620</v>
      </c>
      <c r="AN26" s="435" t="s">
        <v>515</v>
      </c>
      <c r="AO26" s="435" t="s">
        <v>477</v>
      </c>
      <c r="AP26" s="435" t="s">
        <v>467</v>
      </c>
      <c r="AQ26" s="437" t="s">
        <v>476</v>
      </c>
      <c r="AR26" s="435" t="s">
        <v>442</v>
      </c>
      <c r="AS26" s="435" t="s">
        <v>456</v>
      </c>
      <c r="AV26" s="434"/>
      <c r="AW26" s="434"/>
      <c r="AX26" s="434"/>
      <c r="AY26" s="434"/>
    </row>
    <row r="27" spans="1:55" x14ac:dyDescent="0.2">
      <c r="A27" s="434">
        <v>5066</v>
      </c>
      <c r="B27" s="435" t="s">
        <v>455</v>
      </c>
      <c r="C27" s="435" t="s">
        <v>454</v>
      </c>
      <c r="D27" s="435" t="s">
        <v>4</v>
      </c>
      <c r="E27" s="435" t="s">
        <v>634</v>
      </c>
      <c r="F27" s="436" t="s">
        <v>421</v>
      </c>
      <c r="G27" s="435" t="s">
        <v>511</v>
      </c>
      <c r="H27" s="436" t="s">
        <v>459</v>
      </c>
      <c r="I27" s="435" t="s">
        <v>511</v>
      </c>
      <c r="J27" s="436" t="s">
        <v>462</v>
      </c>
      <c r="K27" s="436" t="s">
        <v>462</v>
      </c>
      <c r="L27" s="436" t="s">
        <v>462</v>
      </c>
      <c r="M27" s="436" t="s">
        <v>462</v>
      </c>
      <c r="N27" s="436" t="s">
        <v>462</v>
      </c>
      <c r="O27" s="436" t="s">
        <v>462</v>
      </c>
      <c r="P27" s="435" t="s">
        <v>462</v>
      </c>
      <c r="Q27" s="435" t="s">
        <v>462</v>
      </c>
      <c r="R27" s="435" t="s">
        <v>462</v>
      </c>
      <c r="S27" s="435" t="s">
        <v>462</v>
      </c>
      <c r="T27" s="435" t="s">
        <v>462</v>
      </c>
      <c r="U27" s="435" t="s">
        <v>462</v>
      </c>
      <c r="V27" s="435" t="s">
        <v>680</v>
      </c>
      <c r="W27" s="435" t="s">
        <v>462</v>
      </c>
      <c r="X27" s="435" t="s">
        <v>462</v>
      </c>
      <c r="Y27" s="435" t="s">
        <v>462</v>
      </c>
      <c r="Z27" s="435" t="s">
        <v>462</v>
      </c>
      <c r="AA27" s="435" t="s">
        <v>462</v>
      </c>
      <c r="AB27" s="435" t="s">
        <v>462</v>
      </c>
      <c r="AC27" s="436" t="s">
        <v>462</v>
      </c>
      <c r="AD27" s="435" t="s">
        <v>270</v>
      </c>
      <c r="AE27" s="436" t="s">
        <v>616</v>
      </c>
      <c r="AF27" s="435" t="s">
        <v>621</v>
      </c>
      <c r="AG27" s="436" t="s">
        <v>622</v>
      </c>
      <c r="AH27" s="476" t="s">
        <v>465</v>
      </c>
      <c r="AI27" s="437" t="s">
        <v>614</v>
      </c>
      <c r="AJ27" s="436" t="s">
        <v>513</v>
      </c>
      <c r="AK27" s="435" t="s">
        <v>619</v>
      </c>
      <c r="AL27" s="436" t="s">
        <v>514</v>
      </c>
      <c r="AM27" s="435" t="s">
        <v>620</v>
      </c>
      <c r="AN27" s="435" t="s">
        <v>515</v>
      </c>
      <c r="AO27" s="435" t="s">
        <v>462</v>
      </c>
      <c r="AP27" s="435" t="s">
        <v>467</v>
      </c>
      <c r="AQ27" s="437" t="s">
        <v>476</v>
      </c>
      <c r="AR27" s="435" t="s">
        <v>442</v>
      </c>
      <c r="AS27" s="435" t="s">
        <v>456</v>
      </c>
      <c r="AV27" s="434"/>
      <c r="AW27" s="434"/>
      <c r="AX27" s="434"/>
      <c r="AY27" s="434"/>
    </row>
    <row r="28" spans="1:55" x14ac:dyDescent="0.2">
      <c r="A28" s="434">
        <v>5081</v>
      </c>
      <c r="B28" s="435" t="s">
        <v>328</v>
      </c>
      <c r="C28" s="435" t="s">
        <v>635</v>
      </c>
      <c r="D28" s="435" t="s">
        <v>4</v>
      </c>
      <c r="E28" s="435" t="s">
        <v>612</v>
      </c>
      <c r="F28" s="436" t="s">
        <v>421</v>
      </c>
      <c r="G28" s="435" t="s">
        <v>612</v>
      </c>
      <c r="H28" s="436" t="s">
        <v>459</v>
      </c>
      <c r="I28" s="435" t="s">
        <v>612</v>
      </c>
      <c r="J28" s="436" t="s">
        <v>462</v>
      </c>
      <c r="K28" s="436" t="s">
        <v>462</v>
      </c>
      <c r="L28" s="436" t="s">
        <v>462</v>
      </c>
      <c r="M28" s="436" t="s">
        <v>462</v>
      </c>
      <c r="N28" s="436" t="s">
        <v>462</v>
      </c>
      <c r="O28" s="436" t="s">
        <v>462</v>
      </c>
      <c r="P28" s="435" t="s">
        <v>462</v>
      </c>
      <c r="Q28" s="435" t="s">
        <v>462</v>
      </c>
      <c r="R28" s="435" t="s">
        <v>462</v>
      </c>
      <c r="S28" s="435" t="s">
        <v>462</v>
      </c>
      <c r="T28" s="435" t="s">
        <v>462</v>
      </c>
      <c r="U28" s="435" t="s">
        <v>462</v>
      </c>
      <c r="V28" s="435" t="s">
        <v>680</v>
      </c>
      <c r="W28" s="435" t="s">
        <v>462</v>
      </c>
      <c r="X28" s="435" t="s">
        <v>462</v>
      </c>
      <c r="Y28" s="435" t="s">
        <v>462</v>
      </c>
      <c r="Z28" s="435" t="s">
        <v>462</v>
      </c>
      <c r="AA28" s="435" t="s">
        <v>462</v>
      </c>
      <c r="AB28" s="435" t="s">
        <v>462</v>
      </c>
      <c r="AC28" s="436" t="s">
        <v>462</v>
      </c>
      <c r="AD28" s="435" t="s">
        <v>270</v>
      </c>
      <c r="AE28" s="436" t="s">
        <v>616</v>
      </c>
      <c r="AF28" s="435" t="s">
        <v>617</v>
      </c>
      <c r="AG28" s="436" t="s">
        <v>618</v>
      </c>
      <c r="AH28" s="476" t="s">
        <v>465</v>
      </c>
      <c r="AI28" s="437" t="s">
        <v>614</v>
      </c>
      <c r="AJ28" s="436" t="s">
        <v>513</v>
      </c>
      <c r="AK28" s="435" t="s">
        <v>619</v>
      </c>
      <c r="AL28" s="436" t="s">
        <v>514</v>
      </c>
      <c r="AM28" s="435" t="s">
        <v>620</v>
      </c>
      <c r="AN28" s="435" t="s">
        <v>515</v>
      </c>
      <c r="AO28" s="435" t="s">
        <v>477</v>
      </c>
      <c r="AP28" s="435" t="s">
        <v>467</v>
      </c>
      <c r="AQ28" s="437" t="s">
        <v>476</v>
      </c>
      <c r="AR28" s="435" t="s">
        <v>442</v>
      </c>
      <c r="AS28" s="435" t="s">
        <v>636</v>
      </c>
      <c r="AV28" s="434"/>
      <c r="AW28" s="434"/>
      <c r="AX28" s="434"/>
      <c r="AY28" s="434"/>
    </row>
    <row r="29" spans="1:55" x14ac:dyDescent="0.2">
      <c r="A29" s="434">
        <v>5101</v>
      </c>
      <c r="B29" s="435" t="s">
        <v>642</v>
      </c>
      <c r="C29" s="435" t="s">
        <v>644</v>
      </c>
      <c r="D29" s="435" t="s">
        <v>4</v>
      </c>
      <c r="E29" s="435" t="s">
        <v>414</v>
      </c>
      <c r="F29" s="436" t="s">
        <v>421</v>
      </c>
      <c r="G29" s="435" t="s">
        <v>637</v>
      </c>
      <c r="H29" s="436" t="s">
        <v>459</v>
      </c>
      <c r="I29" s="435" t="s">
        <v>511</v>
      </c>
      <c r="J29" s="436" t="s">
        <v>462</v>
      </c>
      <c r="K29" s="436" t="s">
        <v>462</v>
      </c>
      <c r="L29" s="436" t="s">
        <v>462</v>
      </c>
      <c r="M29" s="436" t="s">
        <v>462</v>
      </c>
      <c r="N29" s="436" t="s">
        <v>462</v>
      </c>
      <c r="O29" s="436" t="s">
        <v>462</v>
      </c>
      <c r="P29" s="435" t="s">
        <v>462</v>
      </c>
      <c r="Q29" s="435" t="s">
        <v>462</v>
      </c>
      <c r="R29" s="435" t="s">
        <v>462</v>
      </c>
      <c r="S29" s="435" t="s">
        <v>462</v>
      </c>
      <c r="T29" s="435" t="s">
        <v>462</v>
      </c>
      <c r="U29" s="435" t="s">
        <v>462</v>
      </c>
      <c r="V29" s="435" t="s">
        <v>680</v>
      </c>
      <c r="W29" s="435" t="s">
        <v>462</v>
      </c>
      <c r="X29" s="435" t="s">
        <v>462</v>
      </c>
      <c r="Y29" s="435" t="s">
        <v>462</v>
      </c>
      <c r="Z29" s="435" t="s">
        <v>462</v>
      </c>
      <c r="AA29" s="435" t="s">
        <v>462</v>
      </c>
      <c r="AB29" s="435" t="s">
        <v>462</v>
      </c>
      <c r="AC29" s="436" t="s">
        <v>462</v>
      </c>
      <c r="AF29" s="435" t="s">
        <v>22</v>
      </c>
      <c r="AG29" s="435" t="s">
        <v>613</v>
      </c>
      <c r="AH29" s="476" t="s">
        <v>465</v>
      </c>
      <c r="AI29" s="437" t="s">
        <v>614</v>
      </c>
      <c r="AJ29" s="436" t="s">
        <v>513</v>
      </c>
      <c r="AK29" s="435" t="s">
        <v>638</v>
      </c>
      <c r="AL29" s="436" t="s">
        <v>514</v>
      </c>
      <c r="AM29" s="435" t="s">
        <v>639</v>
      </c>
      <c r="AN29" s="435" t="s">
        <v>515</v>
      </c>
      <c r="AO29" s="435" t="s">
        <v>477</v>
      </c>
      <c r="AP29" s="435" t="s">
        <v>467</v>
      </c>
      <c r="AQ29" s="437" t="s">
        <v>472</v>
      </c>
      <c r="AR29" s="435" t="s">
        <v>442</v>
      </c>
      <c r="AS29" s="435" t="s">
        <v>640</v>
      </c>
    </row>
    <row r="30" spans="1:55" x14ac:dyDescent="0.2">
      <c r="A30" s="434">
        <v>5111</v>
      </c>
      <c r="B30" s="435" t="s">
        <v>641</v>
      </c>
      <c r="C30" s="435" t="s">
        <v>643</v>
      </c>
      <c r="D30" s="435" t="s">
        <v>4</v>
      </c>
      <c r="E30" s="435" t="s">
        <v>645</v>
      </c>
      <c r="F30" s="436" t="s">
        <v>421</v>
      </c>
      <c r="G30" s="435" t="s">
        <v>457</v>
      </c>
      <c r="H30" s="436" t="s">
        <v>509</v>
      </c>
      <c r="I30" s="435" t="s">
        <v>646</v>
      </c>
      <c r="J30" s="436" t="s">
        <v>509</v>
      </c>
      <c r="K30" s="435" t="s">
        <v>647</v>
      </c>
      <c r="L30" s="436" t="s">
        <v>462</v>
      </c>
      <c r="M30" s="436" t="s">
        <v>462</v>
      </c>
      <c r="N30" s="436" t="s">
        <v>462</v>
      </c>
      <c r="O30" s="436" t="s">
        <v>462</v>
      </c>
      <c r="P30" s="435" t="s">
        <v>462</v>
      </c>
      <c r="Q30" s="435" t="s">
        <v>462</v>
      </c>
      <c r="R30" s="435" t="s">
        <v>462</v>
      </c>
      <c r="S30" s="435" t="s">
        <v>462</v>
      </c>
      <c r="T30" s="435" t="s">
        <v>462</v>
      </c>
      <c r="U30" s="435" t="s">
        <v>462</v>
      </c>
      <c r="V30" s="435" t="s">
        <v>680</v>
      </c>
      <c r="W30" s="435" t="s">
        <v>462</v>
      </c>
      <c r="X30" s="435" t="s">
        <v>462</v>
      </c>
      <c r="Y30" s="435" t="s">
        <v>462</v>
      </c>
      <c r="Z30" s="435" t="s">
        <v>462</v>
      </c>
      <c r="AA30" s="435" t="s">
        <v>462</v>
      </c>
      <c r="AB30" s="435" t="s">
        <v>462</v>
      </c>
      <c r="AC30" s="436" t="s">
        <v>462</v>
      </c>
      <c r="AD30" s="435" t="s">
        <v>462</v>
      </c>
      <c r="AE30" s="435" t="s">
        <v>462</v>
      </c>
      <c r="AF30" s="435" t="s">
        <v>22</v>
      </c>
      <c r="AG30" s="435" t="s">
        <v>613</v>
      </c>
      <c r="AH30" s="476" t="s">
        <v>465</v>
      </c>
      <c r="AI30" s="437" t="s">
        <v>648</v>
      </c>
      <c r="AJ30" s="436" t="s">
        <v>513</v>
      </c>
      <c r="AK30" s="435" t="s">
        <v>638</v>
      </c>
      <c r="AL30" s="436" t="s">
        <v>514</v>
      </c>
      <c r="AM30" s="435" t="s">
        <v>639</v>
      </c>
      <c r="AN30" s="435" t="s">
        <v>515</v>
      </c>
      <c r="AO30" s="435" t="s">
        <v>477</v>
      </c>
      <c r="AP30" s="435" t="s">
        <v>467</v>
      </c>
      <c r="AQ30" s="437" t="s">
        <v>472</v>
      </c>
      <c r="AR30" s="435" t="s">
        <v>442</v>
      </c>
      <c r="AS30" s="435" t="s">
        <v>640</v>
      </c>
    </row>
    <row r="31" spans="1:55" x14ac:dyDescent="0.2">
      <c r="A31" s="434">
        <v>5301</v>
      </c>
      <c r="B31" s="435" t="s">
        <v>46</v>
      </c>
      <c r="C31" s="435" t="s">
        <v>649</v>
      </c>
      <c r="D31" s="435" t="s">
        <v>650</v>
      </c>
      <c r="E31" s="435" t="s">
        <v>651</v>
      </c>
      <c r="F31" s="435" t="s">
        <v>652</v>
      </c>
      <c r="G31" s="435" t="s">
        <v>653</v>
      </c>
      <c r="H31" s="436" t="s">
        <v>654</v>
      </c>
      <c r="I31" s="435" t="s">
        <v>655</v>
      </c>
      <c r="J31" s="436" t="s">
        <v>656</v>
      </c>
      <c r="K31" s="436" t="s">
        <v>657</v>
      </c>
      <c r="L31" s="436" t="s">
        <v>658</v>
      </c>
      <c r="M31" s="436" t="s">
        <v>659</v>
      </c>
      <c r="N31" s="436" t="s">
        <v>509</v>
      </c>
      <c r="O31" s="436" t="s">
        <v>660</v>
      </c>
      <c r="P31" s="435" t="s">
        <v>462</v>
      </c>
      <c r="Q31" s="435" t="s">
        <v>661</v>
      </c>
      <c r="R31" s="435" t="s">
        <v>462</v>
      </c>
      <c r="S31" s="435" t="s">
        <v>462</v>
      </c>
      <c r="T31" s="435" t="s">
        <v>462</v>
      </c>
      <c r="U31" s="435" t="s">
        <v>462</v>
      </c>
      <c r="V31" s="435" t="s">
        <v>680</v>
      </c>
      <c r="W31" s="435" t="s">
        <v>462</v>
      </c>
      <c r="X31" s="435" t="s">
        <v>462</v>
      </c>
      <c r="Y31" s="435" t="s">
        <v>462</v>
      </c>
      <c r="Z31" s="435" t="s">
        <v>462</v>
      </c>
      <c r="AA31" s="435" t="s">
        <v>462</v>
      </c>
      <c r="AB31" s="435" t="s">
        <v>462</v>
      </c>
      <c r="AC31" s="436" t="s">
        <v>462</v>
      </c>
      <c r="AD31" s="435" t="s">
        <v>270</v>
      </c>
      <c r="AE31" s="436" t="s">
        <v>662</v>
      </c>
      <c r="AF31" s="476" t="s">
        <v>465</v>
      </c>
      <c r="AG31" s="437" t="s">
        <v>663</v>
      </c>
      <c r="AH31" s="476" t="s">
        <v>465</v>
      </c>
      <c r="AI31" s="437" t="s">
        <v>664</v>
      </c>
      <c r="AJ31" s="436" t="s">
        <v>513</v>
      </c>
      <c r="AK31" s="435" t="s">
        <v>665</v>
      </c>
      <c r="AL31" s="436" t="s">
        <v>514</v>
      </c>
      <c r="AM31" s="435" t="s">
        <v>666</v>
      </c>
      <c r="AN31" s="435" t="s">
        <v>515</v>
      </c>
      <c r="AO31" s="435" t="s">
        <v>477</v>
      </c>
      <c r="AP31" s="435" t="s">
        <v>467</v>
      </c>
      <c r="AQ31" s="437" t="s">
        <v>475</v>
      </c>
      <c r="AR31" s="435" t="s">
        <v>442</v>
      </c>
      <c r="AS31" s="435" t="s">
        <v>667</v>
      </c>
      <c r="AV31" s="434"/>
      <c r="AW31" s="434"/>
      <c r="AX31" s="438"/>
      <c r="AY31" s="434"/>
    </row>
    <row r="32" spans="1:55" x14ac:dyDescent="0.2">
      <c r="A32" s="434">
        <v>5302</v>
      </c>
      <c r="B32" s="435" t="s">
        <v>47</v>
      </c>
      <c r="C32" s="435" t="s">
        <v>668</v>
      </c>
      <c r="D32" s="435" t="s">
        <v>650</v>
      </c>
      <c r="E32" s="435" t="s">
        <v>651</v>
      </c>
      <c r="F32" s="435" t="s">
        <v>652</v>
      </c>
      <c r="G32" s="435" t="s">
        <v>653</v>
      </c>
      <c r="H32" s="436" t="s">
        <v>654</v>
      </c>
      <c r="I32" s="435" t="s">
        <v>655</v>
      </c>
      <c r="J32" s="436" t="s">
        <v>656</v>
      </c>
      <c r="K32" s="436" t="s">
        <v>657</v>
      </c>
      <c r="L32" s="436" t="s">
        <v>658</v>
      </c>
      <c r="M32" s="436" t="s">
        <v>659</v>
      </c>
      <c r="N32" s="436" t="s">
        <v>509</v>
      </c>
      <c r="O32" s="436" t="s">
        <v>660</v>
      </c>
      <c r="P32" s="435" t="s">
        <v>462</v>
      </c>
      <c r="Q32" s="435" t="s">
        <v>661</v>
      </c>
      <c r="R32" s="435" t="s">
        <v>462</v>
      </c>
      <c r="S32" s="435" t="s">
        <v>462</v>
      </c>
      <c r="T32" s="435" t="s">
        <v>462</v>
      </c>
      <c r="U32" s="435" t="s">
        <v>462</v>
      </c>
      <c r="V32" s="435" t="s">
        <v>680</v>
      </c>
      <c r="W32" s="435" t="s">
        <v>462</v>
      </c>
      <c r="X32" s="435" t="s">
        <v>462</v>
      </c>
      <c r="Y32" s="435" t="s">
        <v>462</v>
      </c>
      <c r="Z32" s="435" t="s">
        <v>462</v>
      </c>
      <c r="AA32" s="435" t="s">
        <v>462</v>
      </c>
      <c r="AB32" s="435" t="s">
        <v>462</v>
      </c>
      <c r="AC32" s="436" t="s">
        <v>462</v>
      </c>
      <c r="AD32" s="435" t="s">
        <v>270</v>
      </c>
      <c r="AE32" s="436" t="s">
        <v>662</v>
      </c>
      <c r="AF32" s="476" t="s">
        <v>465</v>
      </c>
      <c r="AG32" s="437" t="s">
        <v>663</v>
      </c>
      <c r="AH32" s="476" t="s">
        <v>465</v>
      </c>
      <c r="AI32" s="437" t="s">
        <v>664</v>
      </c>
      <c r="AJ32" s="436" t="s">
        <v>513</v>
      </c>
      <c r="AK32" s="435" t="s">
        <v>665</v>
      </c>
      <c r="AL32" s="436" t="s">
        <v>514</v>
      </c>
      <c r="AM32" s="435" t="s">
        <v>666</v>
      </c>
      <c r="AN32" s="435" t="s">
        <v>515</v>
      </c>
      <c r="AO32" s="435" t="s">
        <v>477</v>
      </c>
      <c r="AP32" s="435" t="s">
        <v>467</v>
      </c>
      <c r="AQ32" s="437" t="s">
        <v>475</v>
      </c>
      <c r="AR32" s="435" t="s">
        <v>442</v>
      </c>
      <c r="AS32" s="435" t="s">
        <v>667</v>
      </c>
      <c r="AV32" s="434"/>
      <c r="AW32" s="434"/>
      <c r="AX32" s="434"/>
      <c r="AY32" s="434"/>
      <c r="BB32" s="435" t="s">
        <v>442</v>
      </c>
      <c r="BC32" s="435" t="s">
        <v>335</v>
      </c>
    </row>
    <row r="33" spans="1:55" x14ac:dyDescent="0.2">
      <c r="A33" s="434">
        <v>5321</v>
      </c>
      <c r="B33" s="435" t="s">
        <v>669</v>
      </c>
      <c r="D33" s="435" t="s">
        <v>670</v>
      </c>
      <c r="E33" s="435" t="s">
        <v>592</v>
      </c>
      <c r="F33" s="436" t="s">
        <v>671</v>
      </c>
      <c r="G33" s="435" t="s">
        <v>672</v>
      </c>
      <c r="H33" s="436" t="s">
        <v>560</v>
      </c>
      <c r="I33" s="435" t="s">
        <v>673</v>
      </c>
      <c r="J33" s="436" t="s">
        <v>421</v>
      </c>
      <c r="K33" s="436" t="s">
        <v>677</v>
      </c>
      <c r="L33" s="436" t="s">
        <v>459</v>
      </c>
      <c r="M33" s="436" t="s">
        <v>674</v>
      </c>
      <c r="N33" s="436" t="s">
        <v>462</v>
      </c>
      <c r="O33" s="436" t="s">
        <v>675</v>
      </c>
      <c r="P33" s="436" t="s">
        <v>459</v>
      </c>
      <c r="Q33" s="436" t="s">
        <v>676</v>
      </c>
      <c r="R33" s="435" t="s">
        <v>462</v>
      </c>
      <c r="S33" s="435" t="s">
        <v>462</v>
      </c>
      <c r="T33" s="435" t="s">
        <v>462</v>
      </c>
      <c r="U33" s="435" t="s">
        <v>462</v>
      </c>
      <c r="V33" s="435" t="s">
        <v>680</v>
      </c>
      <c r="W33" s="435" t="s">
        <v>462</v>
      </c>
      <c r="X33" s="435" t="s">
        <v>462</v>
      </c>
      <c r="Y33" s="435" t="s">
        <v>462</v>
      </c>
      <c r="Z33" s="435" t="s">
        <v>462</v>
      </c>
      <c r="AA33" s="435" t="s">
        <v>462</v>
      </c>
      <c r="AB33" s="435" t="s">
        <v>462</v>
      </c>
      <c r="AC33" s="436" t="s">
        <v>462</v>
      </c>
      <c r="AD33" s="435" t="s">
        <v>462</v>
      </c>
      <c r="AE33" s="435" t="s">
        <v>462</v>
      </c>
      <c r="AF33" s="435" t="s">
        <v>270</v>
      </c>
      <c r="AG33" s="436" t="s">
        <v>608</v>
      </c>
      <c r="AH33" s="476" t="s">
        <v>465</v>
      </c>
      <c r="AI33" s="437" t="s">
        <v>678</v>
      </c>
      <c r="AJ33" s="436" t="s">
        <v>513</v>
      </c>
      <c r="AK33" s="435" t="s">
        <v>452</v>
      </c>
      <c r="AL33" s="436"/>
      <c r="AM33" s="435" t="s">
        <v>462</v>
      </c>
      <c r="AN33" s="435" t="s">
        <v>515</v>
      </c>
      <c r="AO33" s="435" t="s">
        <v>477</v>
      </c>
      <c r="AP33" s="435" t="s">
        <v>467</v>
      </c>
      <c r="AQ33" s="437" t="s">
        <v>472</v>
      </c>
      <c r="AR33" s="435" t="s">
        <v>442</v>
      </c>
      <c r="AS33" s="435" t="s">
        <v>679</v>
      </c>
      <c r="AV33" s="434"/>
      <c r="AW33" s="434"/>
      <c r="AX33" s="434"/>
      <c r="AY33" s="434"/>
      <c r="BB33" s="435" t="s">
        <v>442</v>
      </c>
      <c r="BC33" s="435" t="s">
        <v>197</v>
      </c>
    </row>
    <row r="34" spans="1:55" x14ac:dyDescent="0.2">
      <c r="A34" s="434">
        <v>6001</v>
      </c>
      <c r="B34" s="435" t="s">
        <v>686</v>
      </c>
      <c r="C34" s="435" t="s">
        <v>486</v>
      </c>
      <c r="D34" s="435" t="s">
        <v>688</v>
      </c>
      <c r="E34" s="435" t="s">
        <v>687</v>
      </c>
      <c r="F34" s="436" t="s">
        <v>690</v>
      </c>
      <c r="G34" s="435" t="s">
        <v>691</v>
      </c>
      <c r="H34" s="436" t="s">
        <v>689</v>
      </c>
      <c r="I34" s="435" t="s">
        <v>462</v>
      </c>
      <c r="J34" s="436" t="s">
        <v>692</v>
      </c>
      <c r="K34" s="436" t="s">
        <v>612</v>
      </c>
      <c r="L34" s="436" t="s">
        <v>459</v>
      </c>
      <c r="M34" s="436" t="s">
        <v>612</v>
      </c>
      <c r="N34" s="436" t="s">
        <v>698</v>
      </c>
      <c r="O34" s="436" t="s">
        <v>693</v>
      </c>
      <c r="P34" s="436" t="s">
        <v>699</v>
      </c>
      <c r="Q34" s="436" t="s">
        <v>694</v>
      </c>
      <c r="R34" s="435" t="s">
        <v>725</v>
      </c>
      <c r="S34" s="435" t="s">
        <v>462</v>
      </c>
      <c r="T34" s="435" t="s">
        <v>462</v>
      </c>
      <c r="U34" s="435" t="s">
        <v>462</v>
      </c>
      <c r="V34" s="435" t="s">
        <v>680</v>
      </c>
      <c r="W34" s="435" t="s">
        <v>682</v>
      </c>
      <c r="X34" s="435" t="s">
        <v>462</v>
      </c>
      <c r="Y34" s="435" t="s">
        <v>462</v>
      </c>
      <c r="Z34" s="435" t="s">
        <v>462</v>
      </c>
      <c r="AA34" s="435" t="s">
        <v>462</v>
      </c>
      <c r="AB34" s="435" t="s">
        <v>462</v>
      </c>
      <c r="AC34" s="436" t="s">
        <v>462</v>
      </c>
      <c r="AD34" s="435" t="s">
        <v>462</v>
      </c>
      <c r="AE34" s="435" t="s">
        <v>462</v>
      </c>
      <c r="AF34" s="435" t="s">
        <v>270</v>
      </c>
      <c r="AG34" s="436" t="s">
        <v>462</v>
      </c>
      <c r="AH34" s="476" t="s">
        <v>465</v>
      </c>
      <c r="AI34" s="437" t="s">
        <v>462</v>
      </c>
      <c r="AJ34" s="436" t="s">
        <v>513</v>
      </c>
      <c r="AK34" s="435" t="s">
        <v>462</v>
      </c>
      <c r="AL34" s="436" t="s">
        <v>514</v>
      </c>
      <c r="AM34" s="435" t="s">
        <v>462</v>
      </c>
      <c r="AN34" s="435" t="s">
        <v>515</v>
      </c>
      <c r="AO34" s="435" t="s">
        <v>462</v>
      </c>
      <c r="AP34" s="435" t="s">
        <v>467</v>
      </c>
      <c r="AQ34" s="437" t="s">
        <v>472</v>
      </c>
      <c r="AR34" s="435" t="s">
        <v>442</v>
      </c>
      <c r="AS34" s="435" t="s">
        <v>700</v>
      </c>
      <c r="AV34" s="434" t="s">
        <v>337</v>
      </c>
      <c r="AW34" s="434"/>
      <c r="AX34" s="438">
        <v>0.13769999999999999</v>
      </c>
      <c r="AY34" s="438" t="s">
        <v>342</v>
      </c>
      <c r="AZ34" s="435" t="s">
        <v>334</v>
      </c>
      <c r="BB34" s="435" t="s">
        <v>442</v>
      </c>
      <c r="BC34" s="435" t="s">
        <v>306</v>
      </c>
    </row>
    <row r="35" spans="1:55" x14ac:dyDescent="0.2">
      <c r="A35" s="434">
        <v>6101</v>
      </c>
      <c r="B35" s="435" t="s">
        <v>470</v>
      </c>
      <c r="C35" s="435" t="s">
        <v>458</v>
      </c>
      <c r="D35" s="435" t="s">
        <v>4</v>
      </c>
      <c r="E35" s="435" t="s">
        <v>464</v>
      </c>
      <c r="F35" s="436" t="s">
        <v>421</v>
      </c>
      <c r="G35" s="435" t="s">
        <v>463</v>
      </c>
      <c r="H35" s="436" t="s">
        <v>462</v>
      </c>
      <c r="I35" s="435" t="s">
        <v>473</v>
      </c>
      <c r="J35" s="436" t="s">
        <v>459</v>
      </c>
      <c r="K35" s="435" t="s">
        <v>460</v>
      </c>
      <c r="L35" s="436" t="s">
        <v>459</v>
      </c>
      <c r="M35" s="435" t="s">
        <v>461</v>
      </c>
      <c r="N35" s="435" t="s">
        <v>22</v>
      </c>
      <c r="O35" s="480" t="s">
        <v>471</v>
      </c>
      <c r="P35" s="435" t="s">
        <v>465</v>
      </c>
      <c r="Q35" s="435" t="s">
        <v>466</v>
      </c>
      <c r="R35" s="435" t="s">
        <v>468</v>
      </c>
      <c r="S35" s="435" t="s">
        <v>469</v>
      </c>
      <c r="T35" s="435" t="s">
        <v>462</v>
      </c>
      <c r="U35" s="435" t="s">
        <v>462</v>
      </c>
      <c r="V35" s="435" t="s">
        <v>680</v>
      </c>
      <c r="W35" s="435" t="s">
        <v>682</v>
      </c>
      <c r="X35" s="435" t="s">
        <v>462</v>
      </c>
      <c r="Y35" s="435" t="s">
        <v>468</v>
      </c>
      <c r="Z35" s="435" t="s">
        <v>469</v>
      </c>
      <c r="AA35" s="435" t="s">
        <v>462</v>
      </c>
      <c r="AB35" s="435" t="s">
        <v>462</v>
      </c>
      <c r="AC35" s="435" t="s">
        <v>462</v>
      </c>
      <c r="AD35" s="435" t="s">
        <v>462</v>
      </c>
      <c r="AE35" s="435" t="s">
        <v>462</v>
      </c>
      <c r="AF35" s="435" t="s">
        <v>270</v>
      </c>
      <c r="AG35" s="436" t="s">
        <v>695</v>
      </c>
      <c r="AH35" s="476" t="s">
        <v>465</v>
      </c>
      <c r="AI35" s="437" t="s">
        <v>730</v>
      </c>
      <c r="AJ35" s="436" t="s">
        <v>513</v>
      </c>
      <c r="AK35" s="435" t="s">
        <v>452</v>
      </c>
      <c r="AL35" s="436" t="s">
        <v>514</v>
      </c>
      <c r="AM35" s="435" t="s">
        <v>462</v>
      </c>
      <c r="AN35" s="435" t="s">
        <v>515</v>
      </c>
      <c r="AO35" s="435" t="s">
        <v>477</v>
      </c>
      <c r="AP35" s="435" t="s">
        <v>467</v>
      </c>
      <c r="AQ35" s="437" t="s">
        <v>472</v>
      </c>
      <c r="AR35" s="435" t="s">
        <v>442</v>
      </c>
      <c r="AS35" s="435" t="s">
        <v>701</v>
      </c>
      <c r="AT35" s="439"/>
      <c r="AV35" s="434"/>
      <c r="AW35" s="434" t="s">
        <v>462</v>
      </c>
      <c r="AX35" s="434"/>
      <c r="AY35" s="434"/>
    </row>
    <row r="36" spans="1:55" x14ac:dyDescent="0.2">
      <c r="A36" s="434">
        <v>6203</v>
      </c>
      <c r="B36" s="435" t="s">
        <v>48</v>
      </c>
      <c r="C36" s="435" t="s">
        <v>359</v>
      </c>
      <c r="D36" s="435" t="s">
        <v>4</v>
      </c>
      <c r="F36" s="436" t="s">
        <v>421</v>
      </c>
      <c r="H36" s="436" t="s">
        <v>459</v>
      </c>
      <c r="J36" s="436" t="s">
        <v>462</v>
      </c>
      <c r="K36" s="436" t="s">
        <v>462</v>
      </c>
      <c r="L36" s="436" t="s">
        <v>462</v>
      </c>
      <c r="M36" s="436" t="s">
        <v>462</v>
      </c>
      <c r="N36" s="436" t="s">
        <v>462</v>
      </c>
      <c r="O36" s="436" t="s">
        <v>462</v>
      </c>
      <c r="P36" s="435" t="s">
        <v>462</v>
      </c>
      <c r="Q36" s="435" t="s">
        <v>462</v>
      </c>
      <c r="R36" s="435" t="s">
        <v>462</v>
      </c>
      <c r="S36" s="435" t="s">
        <v>462</v>
      </c>
      <c r="T36" s="435" t="s">
        <v>462</v>
      </c>
      <c r="U36" s="435" t="s">
        <v>462</v>
      </c>
      <c r="V36" s="435" t="s">
        <v>680</v>
      </c>
      <c r="W36" s="435" t="s">
        <v>462</v>
      </c>
      <c r="X36" s="435" t="s">
        <v>462</v>
      </c>
      <c r="Y36" s="435" t="s">
        <v>462</v>
      </c>
      <c r="Z36" s="435" t="s">
        <v>462</v>
      </c>
      <c r="AA36" s="435" t="s">
        <v>462</v>
      </c>
      <c r="AB36" s="435" t="s">
        <v>462</v>
      </c>
      <c r="AC36" s="436" t="s">
        <v>462</v>
      </c>
      <c r="AD36" s="435" t="s">
        <v>462</v>
      </c>
      <c r="AE36" s="435" t="s">
        <v>462</v>
      </c>
      <c r="AF36" s="435" t="s">
        <v>270</v>
      </c>
      <c r="AG36" s="436" t="s">
        <v>462</v>
      </c>
      <c r="AH36" s="476" t="s">
        <v>465</v>
      </c>
      <c r="AI36" s="437" t="s">
        <v>462</v>
      </c>
      <c r="AJ36" s="436" t="s">
        <v>513</v>
      </c>
      <c r="AK36" s="435" t="s">
        <v>462</v>
      </c>
      <c r="AL36" s="436" t="s">
        <v>514</v>
      </c>
      <c r="AM36" s="435" t="s">
        <v>462</v>
      </c>
      <c r="AN36" s="435" t="s">
        <v>515</v>
      </c>
      <c r="AO36" s="435" t="s">
        <v>462</v>
      </c>
      <c r="AP36" s="435" t="s">
        <v>467</v>
      </c>
      <c r="AQ36" s="437" t="s">
        <v>472</v>
      </c>
      <c r="AR36" s="435" t="s">
        <v>442</v>
      </c>
      <c r="AS36" s="435" t="s">
        <v>462</v>
      </c>
      <c r="AV36" s="434"/>
      <c r="AW36" s="434"/>
      <c r="AX36" s="434"/>
      <c r="AY36" s="434"/>
      <c r="BB36" s="435" t="s">
        <v>442</v>
      </c>
      <c r="BC36" s="435" t="s">
        <v>209</v>
      </c>
    </row>
    <row r="37" spans="1:55" x14ac:dyDescent="0.2">
      <c r="A37" s="434">
        <v>6401</v>
      </c>
      <c r="B37" s="435" t="s">
        <v>49</v>
      </c>
      <c r="C37" s="435" t="s">
        <v>336</v>
      </c>
      <c r="D37" s="435" t="s">
        <v>4</v>
      </c>
      <c r="F37" s="436" t="s">
        <v>421</v>
      </c>
      <c r="H37" s="436" t="s">
        <v>459</v>
      </c>
      <c r="J37" s="436" t="s">
        <v>462</v>
      </c>
      <c r="K37" s="436" t="s">
        <v>462</v>
      </c>
      <c r="L37" s="436" t="s">
        <v>462</v>
      </c>
      <c r="M37" s="436" t="s">
        <v>462</v>
      </c>
      <c r="N37" s="436" t="s">
        <v>462</v>
      </c>
      <c r="O37" s="436" t="s">
        <v>462</v>
      </c>
      <c r="P37" s="435" t="s">
        <v>462</v>
      </c>
      <c r="Q37" s="435" t="s">
        <v>462</v>
      </c>
      <c r="R37" s="435" t="s">
        <v>462</v>
      </c>
      <c r="S37" s="435" t="s">
        <v>462</v>
      </c>
      <c r="T37" s="435" t="s">
        <v>462</v>
      </c>
      <c r="U37" s="435" t="s">
        <v>462</v>
      </c>
      <c r="V37" s="435" t="s">
        <v>680</v>
      </c>
      <c r="W37" s="435" t="s">
        <v>462</v>
      </c>
      <c r="X37" s="435" t="s">
        <v>462</v>
      </c>
      <c r="Y37" s="435" t="s">
        <v>462</v>
      </c>
      <c r="Z37" s="435" t="s">
        <v>462</v>
      </c>
      <c r="AA37" s="435" t="s">
        <v>462</v>
      </c>
      <c r="AB37" s="435" t="s">
        <v>462</v>
      </c>
      <c r="AC37" s="436" t="s">
        <v>462</v>
      </c>
      <c r="AD37" s="435" t="s">
        <v>462</v>
      </c>
      <c r="AE37" s="435" t="s">
        <v>462</v>
      </c>
      <c r="AF37" s="435" t="s">
        <v>270</v>
      </c>
      <c r="AG37" s="436" t="s">
        <v>462</v>
      </c>
      <c r="AH37" s="476" t="s">
        <v>465</v>
      </c>
      <c r="AI37" s="437" t="s">
        <v>462</v>
      </c>
      <c r="AJ37" s="436" t="s">
        <v>513</v>
      </c>
      <c r="AK37" s="435" t="s">
        <v>462</v>
      </c>
      <c r="AL37" s="436" t="s">
        <v>514</v>
      </c>
      <c r="AM37" s="435" t="s">
        <v>462</v>
      </c>
      <c r="AN37" s="435" t="s">
        <v>515</v>
      </c>
      <c r="AO37" s="435" t="s">
        <v>462</v>
      </c>
      <c r="AP37" s="435" t="s">
        <v>467</v>
      </c>
      <c r="AQ37" s="437" t="s">
        <v>472</v>
      </c>
      <c r="AR37" s="435" t="s">
        <v>442</v>
      </c>
      <c r="AS37" s="435" t="s">
        <v>462</v>
      </c>
      <c r="AV37" s="434" t="s">
        <v>338</v>
      </c>
      <c r="AW37" s="434"/>
      <c r="AX37" s="440">
        <v>0.14000000000000001</v>
      </c>
      <c r="AY37" s="438" t="s">
        <v>340</v>
      </c>
      <c r="AZ37" s="435" t="s">
        <v>334</v>
      </c>
      <c r="BB37" s="435" t="s">
        <v>442</v>
      </c>
      <c r="BC37" s="435" t="s">
        <v>210</v>
      </c>
    </row>
    <row r="38" spans="1:55" x14ac:dyDescent="0.2">
      <c r="A38" s="434">
        <v>6402</v>
      </c>
      <c r="B38" s="435" t="s">
        <v>50</v>
      </c>
      <c r="C38" s="435" t="s">
        <v>360</v>
      </c>
      <c r="D38" s="435" t="s">
        <v>4</v>
      </c>
      <c r="F38" s="436" t="s">
        <v>421</v>
      </c>
      <c r="H38" s="436" t="s">
        <v>459</v>
      </c>
      <c r="J38" s="436" t="s">
        <v>462</v>
      </c>
      <c r="K38" s="436" t="s">
        <v>462</v>
      </c>
      <c r="L38" s="436" t="s">
        <v>462</v>
      </c>
      <c r="M38" s="436" t="s">
        <v>462</v>
      </c>
      <c r="N38" s="436" t="s">
        <v>462</v>
      </c>
      <c r="O38" s="436" t="s">
        <v>462</v>
      </c>
      <c r="P38" s="435" t="s">
        <v>462</v>
      </c>
      <c r="Q38" s="435" t="s">
        <v>462</v>
      </c>
      <c r="R38" s="435" t="s">
        <v>462</v>
      </c>
      <c r="S38" s="435" t="s">
        <v>462</v>
      </c>
      <c r="T38" s="435" t="s">
        <v>462</v>
      </c>
      <c r="U38" s="435" t="s">
        <v>462</v>
      </c>
      <c r="V38" s="435" t="s">
        <v>680</v>
      </c>
      <c r="W38" s="435" t="s">
        <v>462</v>
      </c>
      <c r="X38" s="435" t="s">
        <v>462</v>
      </c>
      <c r="Y38" s="435" t="s">
        <v>462</v>
      </c>
      <c r="Z38" s="435" t="s">
        <v>462</v>
      </c>
      <c r="AA38" s="435" t="s">
        <v>462</v>
      </c>
      <c r="AB38" s="435" t="s">
        <v>462</v>
      </c>
      <c r="AC38" s="436" t="s">
        <v>462</v>
      </c>
      <c r="AD38" s="435" t="s">
        <v>462</v>
      </c>
      <c r="AE38" s="435" t="s">
        <v>462</v>
      </c>
      <c r="AF38" s="435" t="s">
        <v>270</v>
      </c>
      <c r="AG38" s="436" t="s">
        <v>462</v>
      </c>
      <c r="AH38" s="476" t="s">
        <v>465</v>
      </c>
      <c r="AI38" s="437" t="s">
        <v>462</v>
      </c>
      <c r="AJ38" s="436" t="s">
        <v>513</v>
      </c>
      <c r="AK38" s="435" t="s">
        <v>462</v>
      </c>
      <c r="AL38" s="436" t="s">
        <v>514</v>
      </c>
      <c r="AM38" s="435" t="s">
        <v>462</v>
      </c>
      <c r="AN38" s="435" t="s">
        <v>515</v>
      </c>
      <c r="AO38" s="435" t="s">
        <v>462</v>
      </c>
      <c r="AP38" s="435" t="s">
        <v>467</v>
      </c>
      <c r="AQ38" s="437" t="s">
        <v>472</v>
      </c>
      <c r="AR38" s="435" t="s">
        <v>442</v>
      </c>
      <c r="AS38" s="435" t="s">
        <v>462</v>
      </c>
      <c r="AV38" s="434"/>
      <c r="AW38" s="434"/>
      <c r="AX38" s="434"/>
      <c r="AY38" s="434"/>
      <c r="BB38" s="435" t="s">
        <v>442</v>
      </c>
      <c r="BC38" s="435" t="s">
        <v>210</v>
      </c>
    </row>
    <row r="39" spans="1:55" x14ac:dyDescent="0.2">
      <c r="A39" s="434">
        <v>6441</v>
      </c>
      <c r="B39" s="435" t="s">
        <v>327</v>
      </c>
      <c r="C39" s="435" t="s">
        <v>326</v>
      </c>
      <c r="D39" s="435" t="s">
        <v>4</v>
      </c>
      <c r="F39" s="436" t="s">
        <v>421</v>
      </c>
      <c r="H39" s="436" t="s">
        <v>459</v>
      </c>
      <c r="J39" s="436" t="s">
        <v>462</v>
      </c>
      <c r="K39" s="436" t="s">
        <v>462</v>
      </c>
      <c r="L39" s="436" t="s">
        <v>462</v>
      </c>
      <c r="M39" s="436" t="s">
        <v>462</v>
      </c>
      <c r="N39" s="436" t="s">
        <v>462</v>
      </c>
      <c r="O39" s="436" t="s">
        <v>462</v>
      </c>
      <c r="P39" s="435" t="s">
        <v>462</v>
      </c>
      <c r="Q39" s="435" t="s">
        <v>462</v>
      </c>
      <c r="R39" s="435" t="s">
        <v>462</v>
      </c>
      <c r="S39" s="435" t="s">
        <v>462</v>
      </c>
      <c r="T39" s="435" t="s">
        <v>462</v>
      </c>
      <c r="U39" s="435" t="s">
        <v>462</v>
      </c>
      <c r="V39" s="435" t="s">
        <v>680</v>
      </c>
      <c r="W39" s="435" t="s">
        <v>462</v>
      </c>
      <c r="X39" s="435" t="s">
        <v>462</v>
      </c>
      <c r="Y39" s="435" t="s">
        <v>462</v>
      </c>
      <c r="Z39" s="435" t="s">
        <v>462</v>
      </c>
      <c r="AA39" s="435" t="s">
        <v>462</v>
      </c>
      <c r="AB39" s="435" t="s">
        <v>462</v>
      </c>
      <c r="AC39" s="436" t="s">
        <v>462</v>
      </c>
      <c r="AD39" s="435" t="s">
        <v>462</v>
      </c>
      <c r="AE39" s="435" t="s">
        <v>462</v>
      </c>
      <c r="AF39" s="435" t="s">
        <v>270</v>
      </c>
      <c r="AG39" s="436" t="s">
        <v>462</v>
      </c>
      <c r="AH39" s="476" t="s">
        <v>465</v>
      </c>
      <c r="AI39" s="437" t="s">
        <v>462</v>
      </c>
      <c r="AJ39" s="436" t="s">
        <v>513</v>
      </c>
      <c r="AK39" s="435" t="s">
        <v>462</v>
      </c>
      <c r="AL39" s="436" t="s">
        <v>514</v>
      </c>
      <c r="AM39" s="435" t="s">
        <v>462</v>
      </c>
      <c r="AN39" s="435" t="s">
        <v>515</v>
      </c>
      <c r="AO39" s="435" t="s">
        <v>462</v>
      </c>
      <c r="AP39" s="435" t="s">
        <v>467</v>
      </c>
      <c r="AQ39" s="437" t="s">
        <v>472</v>
      </c>
      <c r="AR39" s="435" t="s">
        <v>442</v>
      </c>
      <c r="AS39" s="435" t="s">
        <v>462</v>
      </c>
      <c r="AV39" s="434" t="s">
        <v>339</v>
      </c>
      <c r="AW39" s="434"/>
      <c r="AX39" s="438">
        <v>0.13</v>
      </c>
      <c r="AY39" s="438" t="s">
        <v>341</v>
      </c>
      <c r="AZ39" s="435" t="s">
        <v>334</v>
      </c>
      <c r="BB39" s="435" t="s">
        <v>442</v>
      </c>
      <c r="BC39" s="435" t="s">
        <v>298</v>
      </c>
    </row>
    <row r="40" spans="1:55" x14ac:dyDescent="0.2">
      <c r="A40" s="434">
        <v>6501</v>
      </c>
      <c r="B40" s="435" t="s">
        <v>51</v>
      </c>
      <c r="C40" s="435" t="s">
        <v>311</v>
      </c>
      <c r="D40" s="435" t="s">
        <v>4</v>
      </c>
      <c r="F40" s="436" t="s">
        <v>421</v>
      </c>
      <c r="H40" s="436" t="s">
        <v>459</v>
      </c>
      <c r="J40" s="436" t="s">
        <v>462</v>
      </c>
      <c r="K40" s="436" t="s">
        <v>462</v>
      </c>
      <c r="L40" s="436" t="s">
        <v>462</v>
      </c>
      <c r="M40" s="436" t="s">
        <v>462</v>
      </c>
      <c r="N40" s="436" t="s">
        <v>462</v>
      </c>
      <c r="O40" s="436" t="s">
        <v>462</v>
      </c>
      <c r="P40" s="435" t="s">
        <v>462</v>
      </c>
      <c r="Q40" s="435" t="s">
        <v>462</v>
      </c>
      <c r="R40" s="435" t="s">
        <v>462</v>
      </c>
      <c r="S40" s="435" t="s">
        <v>462</v>
      </c>
      <c r="T40" s="435" t="s">
        <v>462</v>
      </c>
      <c r="U40" s="435" t="s">
        <v>462</v>
      </c>
      <c r="V40" s="435" t="s">
        <v>680</v>
      </c>
      <c r="W40" s="435" t="s">
        <v>462</v>
      </c>
      <c r="X40" s="435" t="s">
        <v>462</v>
      </c>
      <c r="Y40" s="435" t="s">
        <v>462</v>
      </c>
      <c r="Z40" s="435" t="s">
        <v>462</v>
      </c>
      <c r="AA40" s="435" t="s">
        <v>462</v>
      </c>
      <c r="AB40" s="435" t="s">
        <v>462</v>
      </c>
      <c r="AC40" s="436" t="s">
        <v>462</v>
      </c>
      <c r="AD40" s="435" t="s">
        <v>462</v>
      </c>
      <c r="AE40" s="435" t="s">
        <v>462</v>
      </c>
      <c r="AF40" s="435" t="s">
        <v>270</v>
      </c>
      <c r="AG40" s="436" t="s">
        <v>462</v>
      </c>
      <c r="AH40" s="476" t="s">
        <v>465</v>
      </c>
      <c r="AI40" s="437" t="s">
        <v>462</v>
      </c>
      <c r="AJ40" s="436" t="s">
        <v>513</v>
      </c>
      <c r="AK40" s="435" t="s">
        <v>462</v>
      </c>
      <c r="AL40" s="436" t="s">
        <v>514</v>
      </c>
      <c r="AM40" s="435" t="s">
        <v>462</v>
      </c>
      <c r="AN40" s="435" t="s">
        <v>515</v>
      </c>
      <c r="AO40" s="435" t="s">
        <v>462</v>
      </c>
      <c r="AP40" s="435" t="s">
        <v>467</v>
      </c>
      <c r="AQ40" s="437" t="s">
        <v>472</v>
      </c>
      <c r="AR40" s="435" t="s">
        <v>442</v>
      </c>
      <c r="AS40" s="435" t="s">
        <v>462</v>
      </c>
      <c r="AV40" s="434"/>
      <c r="AW40" s="434"/>
      <c r="AX40" s="434"/>
      <c r="AY40" s="438"/>
      <c r="BB40" s="435" t="s">
        <v>442</v>
      </c>
      <c r="BC40" s="435" t="s">
        <v>315</v>
      </c>
    </row>
    <row r="41" spans="1:55" x14ac:dyDescent="0.2">
      <c r="A41" s="434">
        <v>6511</v>
      </c>
      <c r="B41" s="435" t="s">
        <v>52</v>
      </c>
      <c r="D41" s="435" t="s">
        <v>4</v>
      </c>
      <c r="F41" s="436" t="s">
        <v>421</v>
      </c>
      <c r="H41" s="436" t="s">
        <v>459</v>
      </c>
      <c r="J41" s="436" t="s">
        <v>462</v>
      </c>
      <c r="K41" s="436" t="s">
        <v>462</v>
      </c>
      <c r="L41" s="436" t="s">
        <v>462</v>
      </c>
      <c r="M41" s="436" t="s">
        <v>462</v>
      </c>
      <c r="N41" s="436" t="s">
        <v>462</v>
      </c>
      <c r="O41" s="436" t="s">
        <v>462</v>
      </c>
      <c r="P41" s="435" t="s">
        <v>462</v>
      </c>
      <c r="Q41" s="435" t="s">
        <v>462</v>
      </c>
      <c r="R41" s="435" t="s">
        <v>462</v>
      </c>
      <c r="S41" s="435" t="s">
        <v>462</v>
      </c>
      <c r="T41" s="435" t="s">
        <v>462</v>
      </c>
      <c r="U41" s="435" t="s">
        <v>462</v>
      </c>
      <c r="V41" s="435" t="s">
        <v>680</v>
      </c>
      <c r="W41" s="435" t="s">
        <v>462</v>
      </c>
      <c r="X41" s="435" t="s">
        <v>462</v>
      </c>
      <c r="Y41" s="435" t="s">
        <v>462</v>
      </c>
      <c r="Z41" s="435" t="s">
        <v>462</v>
      </c>
      <c r="AA41" s="435" t="s">
        <v>462</v>
      </c>
      <c r="AB41" s="435" t="s">
        <v>462</v>
      </c>
      <c r="AC41" s="436" t="s">
        <v>462</v>
      </c>
      <c r="AD41" s="435" t="s">
        <v>462</v>
      </c>
      <c r="AE41" s="435" t="s">
        <v>462</v>
      </c>
      <c r="AF41" s="435" t="s">
        <v>270</v>
      </c>
      <c r="AG41" s="436" t="s">
        <v>462</v>
      </c>
      <c r="AH41" s="476" t="s">
        <v>465</v>
      </c>
      <c r="AI41" s="437" t="s">
        <v>462</v>
      </c>
      <c r="AJ41" s="436" t="s">
        <v>513</v>
      </c>
      <c r="AK41" s="435" t="s">
        <v>462</v>
      </c>
      <c r="AL41" s="436" t="s">
        <v>514</v>
      </c>
      <c r="AM41" s="435" t="s">
        <v>462</v>
      </c>
      <c r="AN41" s="435" t="s">
        <v>515</v>
      </c>
      <c r="AO41" s="435" t="s">
        <v>462</v>
      </c>
      <c r="AP41" s="435" t="s">
        <v>467</v>
      </c>
      <c r="AQ41" s="437" t="s">
        <v>472</v>
      </c>
      <c r="AR41" s="435" t="s">
        <v>442</v>
      </c>
      <c r="AS41" s="435" t="s">
        <v>462</v>
      </c>
      <c r="AV41" s="435" t="s">
        <v>312</v>
      </c>
      <c r="AW41" s="434"/>
      <c r="AX41" s="481">
        <v>0.16300000000000001</v>
      </c>
      <c r="AY41" s="440" t="s">
        <v>357</v>
      </c>
      <c r="AZ41" s="435" t="s">
        <v>375</v>
      </c>
      <c r="BA41" s="435" t="s">
        <v>21</v>
      </c>
      <c r="BB41" s="435" t="s">
        <v>442</v>
      </c>
      <c r="BC41" s="435" t="s">
        <v>211</v>
      </c>
    </row>
    <row r="42" spans="1:55" x14ac:dyDescent="0.2">
      <c r="A42" s="434">
        <v>6601</v>
      </c>
      <c r="B42" s="435" t="s">
        <v>53</v>
      </c>
      <c r="C42" s="435" t="s">
        <v>313</v>
      </c>
      <c r="D42" s="435" t="s">
        <v>4</v>
      </c>
      <c r="F42" s="436" t="s">
        <v>421</v>
      </c>
      <c r="H42" s="436" t="s">
        <v>459</v>
      </c>
      <c r="J42" s="436" t="s">
        <v>462</v>
      </c>
      <c r="K42" s="436" t="s">
        <v>462</v>
      </c>
      <c r="L42" s="436" t="s">
        <v>462</v>
      </c>
      <c r="M42" s="436" t="s">
        <v>462</v>
      </c>
      <c r="N42" s="436" t="s">
        <v>462</v>
      </c>
      <c r="O42" s="436" t="s">
        <v>462</v>
      </c>
      <c r="P42" s="435" t="s">
        <v>462</v>
      </c>
      <c r="Q42" s="435" t="s">
        <v>462</v>
      </c>
      <c r="R42" s="435" t="s">
        <v>462</v>
      </c>
      <c r="S42" s="435" t="s">
        <v>462</v>
      </c>
      <c r="T42" s="435" t="s">
        <v>462</v>
      </c>
      <c r="U42" s="435" t="s">
        <v>462</v>
      </c>
      <c r="V42" s="435" t="s">
        <v>680</v>
      </c>
      <c r="W42" s="435" t="s">
        <v>462</v>
      </c>
      <c r="X42" s="435" t="s">
        <v>462</v>
      </c>
      <c r="Y42" s="435" t="s">
        <v>462</v>
      </c>
      <c r="Z42" s="435" t="s">
        <v>462</v>
      </c>
      <c r="AA42" s="435" t="s">
        <v>462</v>
      </c>
      <c r="AB42" s="435" t="s">
        <v>462</v>
      </c>
      <c r="AC42" s="436" t="s">
        <v>462</v>
      </c>
      <c r="AD42" s="435" t="s">
        <v>462</v>
      </c>
      <c r="AE42" s="435" t="s">
        <v>462</v>
      </c>
      <c r="AF42" s="435" t="s">
        <v>270</v>
      </c>
      <c r="AG42" s="436" t="s">
        <v>462</v>
      </c>
      <c r="AH42" s="476" t="s">
        <v>465</v>
      </c>
      <c r="AI42" s="437" t="s">
        <v>462</v>
      </c>
      <c r="AJ42" s="436" t="s">
        <v>513</v>
      </c>
      <c r="AK42" s="435" t="s">
        <v>462</v>
      </c>
      <c r="AL42" s="436" t="s">
        <v>514</v>
      </c>
      <c r="AM42" s="435" t="s">
        <v>462</v>
      </c>
      <c r="AN42" s="435" t="s">
        <v>515</v>
      </c>
      <c r="AO42" s="435" t="s">
        <v>462</v>
      </c>
      <c r="AP42" s="435" t="s">
        <v>467</v>
      </c>
      <c r="AQ42" s="437" t="s">
        <v>472</v>
      </c>
      <c r="AR42" s="435" t="s">
        <v>442</v>
      </c>
      <c r="AS42" s="435" t="s">
        <v>462</v>
      </c>
      <c r="AV42" s="436" t="s">
        <v>377</v>
      </c>
      <c r="AW42" s="434"/>
      <c r="AX42" s="438">
        <v>0.14000000000000001</v>
      </c>
      <c r="AY42" s="438" t="s">
        <v>358</v>
      </c>
      <c r="AZ42" s="435" t="s">
        <v>378</v>
      </c>
      <c r="BA42" s="435" t="s">
        <v>21</v>
      </c>
      <c r="BB42" s="435" t="s">
        <v>442</v>
      </c>
      <c r="BC42" s="435" t="s">
        <v>221</v>
      </c>
    </row>
    <row r="43" spans="1:55" x14ac:dyDescent="0.2">
      <c r="A43" s="434">
        <v>6901</v>
      </c>
      <c r="B43" s="435" t="s">
        <v>610</v>
      </c>
      <c r="C43" s="435" t="s">
        <v>611</v>
      </c>
      <c r="D43" s="435" t="s">
        <v>4</v>
      </c>
      <c r="E43" s="435" t="s">
        <v>451</v>
      </c>
      <c r="F43" s="436" t="s">
        <v>421</v>
      </c>
      <c r="G43" s="435" t="s">
        <v>612</v>
      </c>
      <c r="H43" s="436" t="s">
        <v>459</v>
      </c>
      <c r="I43" s="435" t="s">
        <v>612</v>
      </c>
      <c r="R43" s="480"/>
      <c r="S43" s="435" t="s">
        <v>462</v>
      </c>
      <c r="T43" s="435" t="s">
        <v>462</v>
      </c>
      <c r="U43" s="435" t="s">
        <v>462</v>
      </c>
      <c r="V43" s="435" t="s">
        <v>680</v>
      </c>
      <c r="W43" s="435" t="s">
        <v>462</v>
      </c>
      <c r="X43" s="435" t="s">
        <v>462</v>
      </c>
      <c r="Y43" s="435" t="s">
        <v>462</v>
      </c>
      <c r="Z43" s="435" t="s">
        <v>462</v>
      </c>
      <c r="AA43" s="435" t="s">
        <v>462</v>
      </c>
      <c r="AB43" s="435" t="s">
        <v>462</v>
      </c>
      <c r="AC43" s="436" t="s">
        <v>462</v>
      </c>
      <c r="AD43" s="435" t="s">
        <v>462</v>
      </c>
      <c r="AE43" s="435" t="s">
        <v>462</v>
      </c>
      <c r="AF43" s="435" t="s">
        <v>270</v>
      </c>
      <c r="AG43" s="436" t="s">
        <v>613</v>
      </c>
      <c r="AH43" s="476" t="s">
        <v>465</v>
      </c>
      <c r="AI43" s="437" t="s">
        <v>614</v>
      </c>
      <c r="AJ43" s="436" t="s">
        <v>513</v>
      </c>
      <c r="AK43" s="435" t="s">
        <v>452</v>
      </c>
      <c r="AL43" s="436" t="s">
        <v>462</v>
      </c>
      <c r="AM43" s="435" t="s">
        <v>462</v>
      </c>
      <c r="AN43" s="435" t="s">
        <v>515</v>
      </c>
      <c r="AO43" s="435" t="s">
        <v>477</v>
      </c>
      <c r="AP43" s="435" t="s">
        <v>467</v>
      </c>
      <c r="AQ43" s="437" t="s">
        <v>472</v>
      </c>
      <c r="AR43" s="435" t="s">
        <v>442</v>
      </c>
      <c r="AS43" s="435" t="s">
        <v>615</v>
      </c>
      <c r="AV43" s="434" t="s">
        <v>374</v>
      </c>
      <c r="AW43" s="434"/>
      <c r="AX43" s="438">
        <v>0.1535</v>
      </c>
      <c r="AY43" s="440" t="s">
        <v>358</v>
      </c>
      <c r="BB43" s="435" t="s">
        <v>442</v>
      </c>
      <c r="BC43" s="435" t="s">
        <v>305</v>
      </c>
    </row>
    <row r="44" spans="1:55" x14ac:dyDescent="0.2">
      <c r="A44" s="434">
        <v>6921</v>
      </c>
      <c r="B44" s="435" t="s">
        <v>302</v>
      </c>
      <c r="C44" s="435" t="s">
        <v>702</v>
      </c>
      <c r="D44" s="435" t="s">
        <v>4</v>
      </c>
      <c r="E44" s="435" t="s">
        <v>703</v>
      </c>
      <c r="F44" s="436" t="s">
        <v>421</v>
      </c>
      <c r="G44" s="435" t="s">
        <v>612</v>
      </c>
      <c r="H44" s="436" t="s">
        <v>459</v>
      </c>
      <c r="I44" s="435" t="s">
        <v>708</v>
      </c>
      <c r="J44" s="436" t="s">
        <v>704</v>
      </c>
      <c r="K44" s="436" t="s">
        <v>705</v>
      </c>
      <c r="L44" s="436" t="s">
        <v>704</v>
      </c>
      <c r="M44" s="436" t="s">
        <v>706</v>
      </c>
      <c r="N44" s="436" t="s">
        <v>704</v>
      </c>
      <c r="O44" s="436" t="s">
        <v>707</v>
      </c>
      <c r="P44" s="435" t="s">
        <v>462</v>
      </c>
      <c r="Q44" s="435" t="s">
        <v>462</v>
      </c>
      <c r="R44" s="435" t="s">
        <v>462</v>
      </c>
      <c r="S44" s="435" t="s">
        <v>462</v>
      </c>
      <c r="T44" s="435" t="s">
        <v>462</v>
      </c>
      <c r="U44" s="435" t="s">
        <v>462</v>
      </c>
      <c r="V44" s="435" t="s">
        <v>680</v>
      </c>
      <c r="W44" s="435" t="s">
        <v>462</v>
      </c>
      <c r="X44" s="435" t="s">
        <v>462</v>
      </c>
      <c r="Y44" s="435" t="s">
        <v>462</v>
      </c>
      <c r="Z44" s="435" t="s">
        <v>462</v>
      </c>
      <c r="AA44" s="435" t="s">
        <v>462</v>
      </c>
      <c r="AB44" s="435" t="s">
        <v>462</v>
      </c>
      <c r="AC44" s="436" t="s">
        <v>462</v>
      </c>
      <c r="AD44" s="435" t="s">
        <v>462</v>
      </c>
      <c r="AE44" s="435" t="s">
        <v>462</v>
      </c>
      <c r="AF44" s="435" t="s">
        <v>270</v>
      </c>
      <c r="AG44" s="436" t="s">
        <v>462</v>
      </c>
      <c r="AH44" s="476" t="s">
        <v>465</v>
      </c>
      <c r="AI44" s="437" t="s">
        <v>462</v>
      </c>
      <c r="AJ44" s="436" t="s">
        <v>513</v>
      </c>
      <c r="AK44" s="435" t="s">
        <v>462</v>
      </c>
      <c r="AL44" s="436" t="s">
        <v>514</v>
      </c>
      <c r="AM44" s="435" t="s">
        <v>462</v>
      </c>
      <c r="AN44" s="435" t="s">
        <v>515</v>
      </c>
      <c r="AO44" s="435" t="s">
        <v>462</v>
      </c>
      <c r="AP44" s="435" t="s">
        <v>467</v>
      </c>
      <c r="AQ44" s="437" t="s">
        <v>472</v>
      </c>
      <c r="AR44" s="435" t="s">
        <v>442</v>
      </c>
      <c r="AS44" s="435" t="s">
        <v>462</v>
      </c>
      <c r="AV44" s="435" t="s">
        <v>314</v>
      </c>
      <c r="AX44" s="438">
        <v>0.14369999999999999</v>
      </c>
      <c r="AY44" s="438"/>
      <c r="AZ44" s="435" t="s">
        <v>334</v>
      </c>
      <c r="BB44" s="435" t="s">
        <v>442</v>
      </c>
    </row>
    <row r="45" spans="1:55" x14ac:dyDescent="0.2">
      <c r="A45" s="434">
        <v>7001</v>
      </c>
      <c r="B45" s="435" t="s">
        <v>762</v>
      </c>
      <c r="C45" s="435" t="s">
        <v>746</v>
      </c>
      <c r="D45" s="435" t="s">
        <v>330</v>
      </c>
      <c r="E45" s="435" t="s">
        <v>487</v>
      </c>
      <c r="F45" s="435" t="s">
        <v>462</v>
      </c>
      <c r="G45" s="436" t="s">
        <v>488</v>
      </c>
      <c r="H45" s="436" t="s">
        <v>489</v>
      </c>
      <c r="I45" s="435" t="s">
        <v>748</v>
      </c>
      <c r="J45" s="435" t="s">
        <v>490</v>
      </c>
      <c r="K45" s="435" t="s">
        <v>491</v>
      </c>
      <c r="L45" s="435" t="s">
        <v>492</v>
      </c>
      <c r="M45" s="435" t="s">
        <v>493</v>
      </c>
      <c r="N45" s="435" t="s">
        <v>494</v>
      </c>
      <c r="O45" s="435" t="s">
        <v>496</v>
      </c>
      <c r="P45" s="435" t="s">
        <v>495</v>
      </c>
      <c r="Q45" s="435" t="s">
        <v>497</v>
      </c>
      <c r="R45" s="435" t="s">
        <v>498</v>
      </c>
      <c r="S45" s="435" t="s">
        <v>499</v>
      </c>
      <c r="U45" s="435" t="s">
        <v>500</v>
      </c>
      <c r="V45" s="435" t="s">
        <v>680</v>
      </c>
      <c r="W45" s="435" t="s">
        <v>682</v>
      </c>
      <c r="X45" s="435" t="s">
        <v>462</v>
      </c>
      <c r="Y45" s="435" t="s">
        <v>462</v>
      </c>
      <c r="AA45" s="435" t="s">
        <v>462</v>
      </c>
      <c r="AB45" s="435" t="s">
        <v>462</v>
      </c>
      <c r="AC45" s="436" t="s">
        <v>462</v>
      </c>
      <c r="AD45" s="435" t="s">
        <v>462</v>
      </c>
      <c r="AE45" s="435" t="s">
        <v>462</v>
      </c>
      <c r="AF45" s="435" t="s">
        <v>270</v>
      </c>
      <c r="AG45" s="436" t="s">
        <v>462</v>
      </c>
      <c r="AH45" s="476" t="s">
        <v>465</v>
      </c>
      <c r="AI45" s="437" t="s">
        <v>462</v>
      </c>
      <c r="AJ45" s="436" t="s">
        <v>513</v>
      </c>
      <c r="AK45" s="435" t="s">
        <v>462</v>
      </c>
      <c r="AL45" s="436" t="s">
        <v>514</v>
      </c>
      <c r="AM45" s="435" t="s">
        <v>462</v>
      </c>
      <c r="AN45" s="435" t="s">
        <v>515</v>
      </c>
      <c r="AO45" s="435" t="s">
        <v>462</v>
      </c>
      <c r="AP45" s="435" t="s">
        <v>467</v>
      </c>
      <c r="AQ45" s="437" t="s">
        <v>462</v>
      </c>
      <c r="AR45" s="435" t="s">
        <v>442</v>
      </c>
      <c r="AS45" s="435" t="s">
        <v>462</v>
      </c>
      <c r="AT45" s="435" t="s">
        <v>462</v>
      </c>
      <c r="AU45" s="435" t="s">
        <v>462</v>
      </c>
      <c r="AV45" s="435" t="s">
        <v>462</v>
      </c>
      <c r="AW45" s="435" t="s">
        <v>462</v>
      </c>
      <c r="AX45" s="434" t="s">
        <v>462</v>
      </c>
      <c r="AY45" s="440" t="s">
        <v>462</v>
      </c>
      <c r="AZ45" s="435" t="s">
        <v>462</v>
      </c>
      <c r="BA45" s="435" t="s">
        <v>462</v>
      </c>
      <c r="BB45" s="435" t="s">
        <v>462</v>
      </c>
      <c r="BC45" s="435" t="s">
        <v>462</v>
      </c>
    </row>
    <row r="46" spans="1:55" x14ac:dyDescent="0.2">
      <c r="A46" s="434">
        <v>7101</v>
      </c>
      <c r="B46" s="435" t="s">
        <v>54</v>
      </c>
      <c r="D46" s="435" t="s">
        <v>4</v>
      </c>
      <c r="F46" s="436" t="s">
        <v>421</v>
      </c>
      <c r="H46" s="436" t="s">
        <v>459</v>
      </c>
      <c r="J46" s="436" t="s">
        <v>462</v>
      </c>
      <c r="K46" s="436" t="s">
        <v>462</v>
      </c>
      <c r="L46" s="436" t="s">
        <v>462</v>
      </c>
      <c r="M46" s="436" t="s">
        <v>462</v>
      </c>
      <c r="N46" s="436" t="s">
        <v>462</v>
      </c>
      <c r="O46" s="436" t="s">
        <v>462</v>
      </c>
      <c r="P46" s="435" t="s">
        <v>462</v>
      </c>
      <c r="Q46" s="435" t="s">
        <v>462</v>
      </c>
      <c r="R46" s="435" t="s">
        <v>462</v>
      </c>
      <c r="S46" s="435" t="s">
        <v>462</v>
      </c>
      <c r="T46" s="435" t="s">
        <v>462</v>
      </c>
      <c r="U46" s="435" t="s">
        <v>462</v>
      </c>
      <c r="V46" s="435" t="s">
        <v>680</v>
      </c>
      <c r="W46" s="435" t="s">
        <v>462</v>
      </c>
      <c r="X46" s="435" t="s">
        <v>462</v>
      </c>
      <c r="Y46" s="435" t="s">
        <v>462</v>
      </c>
      <c r="Z46" s="435" t="s">
        <v>462</v>
      </c>
      <c r="AA46" s="435" t="s">
        <v>462</v>
      </c>
      <c r="AB46" s="435" t="s">
        <v>462</v>
      </c>
      <c r="AC46" s="436" t="s">
        <v>462</v>
      </c>
      <c r="AD46" s="435" t="s">
        <v>462</v>
      </c>
      <c r="AE46" s="435" t="s">
        <v>462</v>
      </c>
      <c r="AF46" s="435" t="s">
        <v>270</v>
      </c>
      <c r="AG46" s="436" t="s">
        <v>462</v>
      </c>
      <c r="AH46" s="476" t="s">
        <v>465</v>
      </c>
      <c r="AI46" s="437" t="s">
        <v>462</v>
      </c>
      <c r="AJ46" s="436" t="s">
        <v>513</v>
      </c>
      <c r="AK46" s="435" t="s">
        <v>462</v>
      </c>
      <c r="AL46" s="436" t="s">
        <v>514</v>
      </c>
      <c r="AM46" s="435" t="s">
        <v>462</v>
      </c>
      <c r="AN46" s="435" t="s">
        <v>515</v>
      </c>
      <c r="AO46" s="435" t="s">
        <v>462</v>
      </c>
      <c r="AP46" s="435" t="s">
        <v>467</v>
      </c>
      <c r="AQ46" s="437" t="s">
        <v>472</v>
      </c>
      <c r="AR46" s="435" t="s">
        <v>442</v>
      </c>
      <c r="AS46" s="435" t="s">
        <v>462</v>
      </c>
      <c r="AV46" s="434" t="s">
        <v>331</v>
      </c>
      <c r="AW46" s="434"/>
      <c r="AX46" s="438">
        <v>0.1328</v>
      </c>
      <c r="AY46" s="440"/>
      <c r="AZ46" s="435" t="s">
        <v>332</v>
      </c>
      <c r="BA46" s="435" t="s">
        <v>21</v>
      </c>
      <c r="BB46" s="435" t="s">
        <v>442</v>
      </c>
      <c r="BC46" s="435" t="s">
        <v>260</v>
      </c>
    </row>
    <row r="47" spans="1:55" x14ac:dyDescent="0.2">
      <c r="A47" s="434">
        <v>7201</v>
      </c>
      <c r="B47" s="435" t="s">
        <v>229</v>
      </c>
      <c r="D47" s="435" t="s">
        <v>4</v>
      </c>
      <c r="F47" s="436" t="s">
        <v>421</v>
      </c>
      <c r="H47" s="436" t="s">
        <v>459</v>
      </c>
      <c r="J47" s="436" t="s">
        <v>462</v>
      </c>
      <c r="K47" s="436" t="s">
        <v>462</v>
      </c>
      <c r="L47" s="436" t="s">
        <v>462</v>
      </c>
      <c r="M47" s="436" t="s">
        <v>462</v>
      </c>
      <c r="N47" s="436" t="s">
        <v>462</v>
      </c>
      <c r="O47" s="436" t="s">
        <v>462</v>
      </c>
      <c r="P47" s="435" t="s">
        <v>462</v>
      </c>
      <c r="Q47" s="435" t="s">
        <v>462</v>
      </c>
      <c r="R47" s="435" t="s">
        <v>462</v>
      </c>
      <c r="S47" s="435" t="s">
        <v>462</v>
      </c>
      <c r="T47" s="435" t="s">
        <v>462</v>
      </c>
      <c r="U47" s="435" t="s">
        <v>462</v>
      </c>
      <c r="V47" s="435" t="s">
        <v>680</v>
      </c>
      <c r="W47" s="435" t="s">
        <v>462</v>
      </c>
      <c r="X47" s="435" t="s">
        <v>462</v>
      </c>
      <c r="Y47" s="435" t="s">
        <v>462</v>
      </c>
      <c r="Z47" s="435" t="s">
        <v>462</v>
      </c>
      <c r="AA47" s="435" t="s">
        <v>462</v>
      </c>
      <c r="AB47" s="435" t="s">
        <v>462</v>
      </c>
      <c r="AC47" s="436" t="s">
        <v>462</v>
      </c>
      <c r="AD47" s="435" t="s">
        <v>462</v>
      </c>
      <c r="AE47" s="435" t="s">
        <v>462</v>
      </c>
      <c r="AF47" s="435" t="s">
        <v>270</v>
      </c>
      <c r="AG47" s="436" t="s">
        <v>462</v>
      </c>
      <c r="AH47" s="476" t="s">
        <v>465</v>
      </c>
      <c r="AI47" s="437" t="s">
        <v>462</v>
      </c>
      <c r="AJ47" s="436" t="s">
        <v>513</v>
      </c>
      <c r="AK47" s="435" t="s">
        <v>462</v>
      </c>
      <c r="AL47" s="436" t="s">
        <v>514</v>
      </c>
      <c r="AM47" s="435" t="s">
        <v>462</v>
      </c>
      <c r="AN47" s="435" t="s">
        <v>515</v>
      </c>
      <c r="AO47" s="435" t="s">
        <v>462</v>
      </c>
      <c r="AP47" s="435" t="s">
        <v>467</v>
      </c>
      <c r="AQ47" s="437" t="s">
        <v>472</v>
      </c>
      <c r="AR47" s="435" t="s">
        <v>442</v>
      </c>
      <c r="AS47" s="435" t="s">
        <v>462</v>
      </c>
      <c r="AT47" s="439"/>
      <c r="AV47" s="434" t="s">
        <v>333</v>
      </c>
      <c r="AW47" s="434"/>
      <c r="AX47" s="440">
        <v>0.14000000000000001</v>
      </c>
      <c r="AY47" s="440"/>
      <c r="AZ47" s="435" t="s">
        <v>334</v>
      </c>
      <c r="BB47" s="435" t="s">
        <v>442</v>
      </c>
      <c r="BC47" s="435" t="s">
        <v>230</v>
      </c>
    </row>
    <row r="48" spans="1:55" x14ac:dyDescent="0.2">
      <c r="A48" s="434">
        <v>7301</v>
      </c>
      <c r="B48" s="435" t="s">
        <v>55</v>
      </c>
      <c r="C48" s="435" t="s">
        <v>316</v>
      </c>
      <c r="D48" s="435" t="s">
        <v>4</v>
      </c>
      <c r="F48" s="436" t="s">
        <v>421</v>
      </c>
      <c r="H48" s="436" t="s">
        <v>459</v>
      </c>
      <c r="J48" s="436" t="s">
        <v>462</v>
      </c>
      <c r="K48" s="436" t="s">
        <v>462</v>
      </c>
      <c r="L48" s="436" t="s">
        <v>462</v>
      </c>
      <c r="M48" s="436" t="s">
        <v>462</v>
      </c>
      <c r="N48" s="436" t="s">
        <v>462</v>
      </c>
      <c r="O48" s="436" t="s">
        <v>462</v>
      </c>
      <c r="P48" s="435" t="s">
        <v>462</v>
      </c>
      <c r="Q48" s="435" t="s">
        <v>462</v>
      </c>
      <c r="R48" s="435" t="s">
        <v>462</v>
      </c>
      <c r="S48" s="435" t="s">
        <v>462</v>
      </c>
      <c r="T48" s="435" t="s">
        <v>462</v>
      </c>
      <c r="U48" s="435" t="s">
        <v>462</v>
      </c>
      <c r="V48" s="435" t="s">
        <v>680</v>
      </c>
      <c r="W48" s="435" t="s">
        <v>462</v>
      </c>
      <c r="X48" s="435" t="s">
        <v>462</v>
      </c>
      <c r="Y48" s="435" t="s">
        <v>462</v>
      </c>
      <c r="Z48" s="435" t="s">
        <v>462</v>
      </c>
      <c r="AA48" s="435" t="s">
        <v>462</v>
      </c>
      <c r="AB48" s="435" t="s">
        <v>462</v>
      </c>
      <c r="AC48" s="436" t="s">
        <v>462</v>
      </c>
      <c r="AD48" s="435" t="s">
        <v>462</v>
      </c>
      <c r="AE48" s="435" t="s">
        <v>462</v>
      </c>
      <c r="AF48" s="435" t="s">
        <v>270</v>
      </c>
      <c r="AG48" s="436" t="s">
        <v>462</v>
      </c>
      <c r="AH48" s="476" t="s">
        <v>465</v>
      </c>
      <c r="AI48" s="437" t="s">
        <v>462</v>
      </c>
      <c r="AJ48" s="436" t="s">
        <v>513</v>
      </c>
      <c r="AK48" s="435" t="s">
        <v>462</v>
      </c>
      <c r="AL48" s="436" t="s">
        <v>514</v>
      </c>
      <c r="AM48" s="435" t="s">
        <v>462</v>
      </c>
      <c r="AN48" s="435" t="s">
        <v>515</v>
      </c>
      <c r="AO48" s="435" t="s">
        <v>462</v>
      </c>
      <c r="AP48" s="435" t="s">
        <v>467</v>
      </c>
      <c r="AQ48" s="437" t="s">
        <v>472</v>
      </c>
      <c r="AR48" s="435" t="s">
        <v>442</v>
      </c>
      <c r="AS48" s="435" t="s">
        <v>462</v>
      </c>
      <c r="AV48" s="434">
        <v>18</v>
      </c>
      <c r="AW48" s="434"/>
      <c r="AX48" s="438">
        <v>0.126</v>
      </c>
      <c r="AY48" s="438"/>
      <c r="AZ48" s="435" t="s">
        <v>329</v>
      </c>
      <c r="BA48" s="435" t="s">
        <v>21</v>
      </c>
      <c r="BB48" s="435" t="s">
        <v>442</v>
      </c>
      <c r="BC48" s="435" t="s">
        <v>205</v>
      </c>
    </row>
    <row r="49" spans="1:55" x14ac:dyDescent="0.2">
      <c r="A49" s="434">
        <v>7801</v>
      </c>
      <c r="B49" s="435" t="s">
        <v>303</v>
      </c>
      <c r="D49" s="435" t="s">
        <v>4</v>
      </c>
      <c r="F49" s="436" t="s">
        <v>421</v>
      </c>
      <c r="H49" s="436" t="s">
        <v>459</v>
      </c>
      <c r="J49" s="436" t="s">
        <v>462</v>
      </c>
      <c r="K49" s="436" t="s">
        <v>462</v>
      </c>
      <c r="L49" s="436" t="s">
        <v>462</v>
      </c>
      <c r="M49" s="436" t="s">
        <v>462</v>
      </c>
      <c r="N49" s="436" t="s">
        <v>462</v>
      </c>
      <c r="O49" s="436" t="s">
        <v>462</v>
      </c>
      <c r="P49" s="435" t="s">
        <v>462</v>
      </c>
      <c r="Q49" s="435" t="s">
        <v>462</v>
      </c>
      <c r="R49" s="435" t="s">
        <v>462</v>
      </c>
      <c r="S49" s="435" t="s">
        <v>462</v>
      </c>
      <c r="T49" s="435" t="s">
        <v>462</v>
      </c>
      <c r="U49" s="435" t="s">
        <v>462</v>
      </c>
      <c r="V49" s="435" t="s">
        <v>462</v>
      </c>
      <c r="W49" s="435" t="s">
        <v>462</v>
      </c>
      <c r="X49" s="435" t="s">
        <v>462</v>
      </c>
      <c r="Y49" s="435" t="s">
        <v>462</v>
      </c>
      <c r="Z49" s="435" t="s">
        <v>462</v>
      </c>
      <c r="AA49" s="435" t="s">
        <v>462</v>
      </c>
      <c r="AB49" s="435" t="s">
        <v>462</v>
      </c>
      <c r="AC49" s="436" t="s">
        <v>462</v>
      </c>
      <c r="AD49" s="435" t="s">
        <v>462</v>
      </c>
      <c r="AE49" s="435" t="s">
        <v>462</v>
      </c>
      <c r="AQ49" s="436"/>
      <c r="AV49" s="434"/>
      <c r="AW49" s="434"/>
      <c r="AX49" s="434"/>
      <c r="AY49" s="434"/>
      <c r="BB49" s="435" t="s">
        <v>442</v>
      </c>
      <c r="BC49" s="435" t="s">
        <v>317</v>
      </c>
    </row>
    <row r="50" spans="1:55" x14ac:dyDescent="0.2">
      <c r="F50" s="436"/>
      <c r="H50" s="436"/>
      <c r="J50" s="436"/>
      <c r="K50" s="436"/>
      <c r="L50" s="436"/>
      <c r="M50" s="436"/>
      <c r="N50" s="436"/>
      <c r="O50" s="436"/>
      <c r="W50" s="435"/>
      <c r="AQ50" s="436"/>
      <c r="AV50" s="434"/>
      <c r="AW50" s="434"/>
      <c r="AX50" s="434"/>
      <c r="AY50" s="434"/>
    </row>
    <row r="55" spans="1:55" x14ac:dyDescent="0.2">
      <c r="F55" s="436"/>
      <c r="H55" s="436"/>
      <c r="J55" s="436"/>
      <c r="K55" s="436"/>
      <c r="L55" s="436"/>
      <c r="M55" s="436"/>
      <c r="N55" s="436"/>
      <c r="O55" s="436"/>
      <c r="W55" s="435"/>
      <c r="AH55" s="476"/>
      <c r="AI55" s="437"/>
      <c r="AJ55" s="436"/>
      <c r="AK55" s="435"/>
      <c r="AL55" s="436"/>
      <c r="AQ55" s="437"/>
      <c r="AV55" s="434"/>
      <c r="AW55" s="434"/>
      <c r="AX55" s="434"/>
      <c r="AY55" s="434"/>
    </row>
    <row r="56" spans="1:55" x14ac:dyDescent="0.2">
      <c r="F56" s="436"/>
      <c r="H56" s="436"/>
      <c r="J56" s="436"/>
      <c r="K56" s="436"/>
      <c r="L56" s="436"/>
      <c r="M56" s="436"/>
      <c r="N56" s="436"/>
      <c r="O56" s="436"/>
      <c r="W56" s="435"/>
      <c r="AH56" s="476"/>
      <c r="AI56" s="437"/>
      <c r="AJ56" s="436"/>
      <c r="AK56" s="435"/>
      <c r="AL56" s="436"/>
      <c r="AQ56" s="437"/>
      <c r="AV56" s="434"/>
      <c r="AW56" s="434"/>
      <c r="AX56" s="434"/>
      <c r="AY56" s="434"/>
    </row>
    <row r="57" spans="1:55" x14ac:dyDescent="0.2">
      <c r="F57" s="436"/>
      <c r="H57" s="436"/>
      <c r="J57" s="436"/>
      <c r="K57" s="436"/>
      <c r="L57" s="436"/>
      <c r="M57" s="436"/>
      <c r="N57" s="436"/>
      <c r="O57" s="436"/>
      <c r="W57" s="435"/>
      <c r="AH57" s="476"/>
      <c r="AI57" s="437"/>
      <c r="AJ57" s="436"/>
      <c r="AK57" s="435"/>
      <c r="AL57" s="436"/>
      <c r="AQ57" s="437"/>
      <c r="AV57" s="434"/>
      <c r="AW57" s="434"/>
      <c r="AX57" s="434"/>
      <c r="AY57" s="434"/>
    </row>
  </sheetData>
  <sheetProtection password="CF28" sheet="1" objects="1" scenarios="1"/>
  <customSheetViews>
    <customSheetView guid="{40555330-83BF-42FA-97D0-8A355A41C0A0}" scale="130" topLeftCell="A19">
      <pane xSplit="1.8321428571428573" topLeftCell="O1" activePane="topRight" state="frozen"/>
      <selection pane="topRight" activeCell="O31" sqref="O31"/>
      <pageMargins left="0.75" right="0.75" top="1" bottom="1" header="0.5" footer="0.5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paperSize="9" orientation="portrait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XFD150"/>
  <sheetViews>
    <sheetView tabSelected="1" showRuler="0" topLeftCell="A2" zoomScale="130" zoomScaleNormal="130" zoomScalePageLayoutView="85" workbookViewId="0">
      <selection activeCell="M24" sqref="M24"/>
    </sheetView>
  </sheetViews>
  <sheetFormatPr defaultRowHeight="13.5" x14ac:dyDescent="0.25"/>
  <cols>
    <col min="1" max="1" width="2.33203125" style="304" customWidth="1"/>
    <col min="2" max="2" width="1.5" style="304" customWidth="1"/>
    <col min="3" max="7" width="4.5" style="304" customWidth="1"/>
    <col min="8" max="8" width="11.1640625" style="304" customWidth="1"/>
    <col min="9" max="9" width="9.33203125" style="304" customWidth="1"/>
    <col min="10" max="10" width="5.1640625" style="333" customWidth="1"/>
    <col min="11" max="11" width="1.5" style="333" customWidth="1"/>
    <col min="12" max="12" width="11.6640625" style="304" customWidth="1"/>
    <col min="13" max="13" width="13" style="304" customWidth="1"/>
    <col min="14" max="14" width="1.5" style="304" customWidth="1"/>
    <col min="15" max="15" width="3.1640625" style="304" customWidth="1"/>
    <col min="16" max="16" width="6" style="304" hidden="1" customWidth="1"/>
    <col min="17" max="17" width="1.83203125" style="304" hidden="1" customWidth="1"/>
    <col min="18" max="18" width="2.83203125" style="304" customWidth="1"/>
    <col min="19" max="19" width="3.1640625" style="304" customWidth="1"/>
    <col min="20" max="23" width="2.6640625" style="304" customWidth="1"/>
    <col min="24" max="24" width="3.5" style="304" customWidth="1"/>
    <col min="25" max="25" width="1.83203125" style="304" customWidth="1"/>
    <col min="26" max="29" width="2.6640625" style="304" customWidth="1"/>
    <col min="30" max="30" width="5.6640625" style="304" customWidth="1"/>
    <col min="31" max="31" width="1.6640625" style="304" hidden="1" customWidth="1"/>
    <col min="32" max="32" width="2" style="454" hidden="1" customWidth="1"/>
    <col min="33" max="33" width="27.33203125" style="441" hidden="1" customWidth="1"/>
    <col min="34" max="34" width="3.6640625" style="441" hidden="1" customWidth="1"/>
    <col min="35" max="35" width="9.6640625" style="441" hidden="1" customWidth="1"/>
    <col min="36" max="36" width="0.1640625" style="441" customWidth="1"/>
    <col min="37" max="38" width="9.33203125" style="304" customWidth="1"/>
    <col min="39" max="16384" width="9.33203125" style="304"/>
  </cols>
  <sheetData>
    <row r="1" spans="1:41" ht="6" hidden="1" customHeight="1" x14ac:dyDescent="0.25">
      <c r="A1" s="303"/>
      <c r="B1" s="303"/>
      <c r="L1" s="305"/>
      <c r="M1" s="682" t="s">
        <v>734</v>
      </c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I1" s="460"/>
      <c r="AJ1" s="458"/>
      <c r="AK1" s="371"/>
      <c r="AL1" s="371"/>
      <c r="AM1" s="371"/>
      <c r="AN1" s="371"/>
      <c r="AO1" s="371"/>
    </row>
    <row r="2" spans="1:41" ht="21" customHeight="1" x14ac:dyDescent="0.35">
      <c r="A2" s="340"/>
      <c r="B2" s="504" t="s">
        <v>423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G2" s="442" t="s">
        <v>439</v>
      </c>
      <c r="AI2" s="460"/>
      <c r="AJ2" s="458"/>
      <c r="AK2" s="367"/>
      <c r="AL2" s="367"/>
    </row>
    <row r="3" spans="1:41" ht="6.75" customHeight="1" x14ac:dyDescent="0.25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05"/>
      <c r="O3" s="605"/>
      <c r="P3" s="605"/>
      <c r="Q3" s="605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K3" s="367"/>
      <c r="AL3" s="367"/>
    </row>
    <row r="4" spans="1:41" ht="12.75" customHeight="1" x14ac:dyDescent="0.25">
      <c r="A4" s="317"/>
      <c r="B4" s="681" t="s">
        <v>66</v>
      </c>
      <c r="C4" s="681"/>
      <c r="D4" s="681"/>
      <c r="E4" s="681"/>
      <c r="F4" s="681"/>
      <c r="G4" s="681"/>
      <c r="H4" s="318"/>
      <c r="I4" s="675"/>
      <c r="J4" s="676"/>
      <c r="K4" s="676"/>
      <c r="L4" s="676"/>
      <c r="M4" s="677"/>
      <c r="N4" s="605"/>
      <c r="O4" s="605"/>
      <c r="P4" s="605"/>
      <c r="Q4" s="605"/>
      <c r="S4" s="379"/>
      <c r="T4" s="496" t="s">
        <v>171</v>
      </c>
      <c r="U4" s="496"/>
      <c r="V4" s="306"/>
      <c r="W4" s="306"/>
      <c r="X4" s="306"/>
      <c r="Y4" s="692"/>
      <c r="Z4" s="693"/>
      <c r="AA4" s="693"/>
      <c r="AB4" s="693"/>
      <c r="AC4" s="694"/>
      <c r="AD4" s="332"/>
      <c r="AG4" s="670" t="s">
        <v>440</v>
      </c>
      <c r="AH4" s="444"/>
      <c r="AI4" s="672" t="e">
        <f>+VLOOKUP(Y13,Vejledning!A:C,2,1)</f>
        <v>#N/A</v>
      </c>
      <c r="AJ4" s="672"/>
      <c r="AK4" s="367"/>
      <c r="AL4" s="367"/>
    </row>
    <row r="5" spans="1:41" ht="12.75" customHeight="1" x14ac:dyDescent="0.25">
      <c r="A5" s="317"/>
      <c r="B5" s="681" t="s">
        <v>88</v>
      </c>
      <c r="C5" s="681"/>
      <c r="D5" s="681"/>
      <c r="E5" s="681"/>
      <c r="F5" s="681"/>
      <c r="G5" s="681"/>
      <c r="H5" s="318"/>
      <c r="I5" s="675"/>
      <c r="J5" s="676"/>
      <c r="K5" s="676"/>
      <c r="L5" s="676"/>
      <c r="M5" s="677"/>
      <c r="N5" s="605"/>
      <c r="O5" s="605"/>
      <c r="P5" s="605"/>
      <c r="Q5" s="605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G5" s="670"/>
      <c r="AH5" s="444"/>
      <c r="AI5" s="672"/>
      <c r="AJ5" s="672"/>
      <c r="AK5" s="367"/>
      <c r="AL5" s="367"/>
    </row>
    <row r="6" spans="1:41" ht="12.75" customHeight="1" x14ac:dyDescent="0.25">
      <c r="A6" s="317"/>
      <c r="B6" s="681" t="s">
        <v>89</v>
      </c>
      <c r="C6" s="681"/>
      <c r="D6" s="681"/>
      <c r="E6" s="681"/>
      <c r="F6" s="681"/>
      <c r="G6" s="681"/>
      <c r="H6" s="318"/>
      <c r="I6" s="675"/>
      <c r="J6" s="676"/>
      <c r="K6" s="676"/>
      <c r="L6" s="676"/>
      <c r="M6" s="677"/>
      <c r="N6" s="605"/>
      <c r="O6" s="605"/>
      <c r="P6" s="605"/>
      <c r="Q6" s="605"/>
      <c r="S6" s="379"/>
      <c r="T6" s="431"/>
      <c r="U6" s="306"/>
      <c r="V6" s="720" t="s">
        <v>696</v>
      </c>
      <c r="W6" s="720"/>
      <c r="X6" s="720"/>
      <c r="Y6" s="720"/>
      <c r="Z6" s="720"/>
      <c r="AA6" s="720"/>
      <c r="AB6" s="720"/>
      <c r="AC6" s="720"/>
      <c r="AD6" s="410"/>
      <c r="AG6" s="444"/>
      <c r="AH6" s="444"/>
      <c r="AI6" s="672"/>
      <c r="AJ6" s="672"/>
      <c r="AK6" s="367"/>
      <c r="AL6" s="367"/>
    </row>
    <row r="7" spans="1:41" ht="12.75" customHeight="1" x14ac:dyDescent="0.25">
      <c r="A7" s="317"/>
      <c r="B7" s="495" t="s">
        <v>409</v>
      </c>
      <c r="C7" s="495"/>
      <c r="D7" s="495"/>
      <c r="E7" s="495"/>
      <c r="F7" s="495"/>
      <c r="G7" s="495"/>
      <c r="H7" s="318"/>
      <c r="I7" s="324">
        <v>37</v>
      </c>
      <c r="J7" s="355"/>
      <c r="K7" s="424"/>
      <c r="L7" s="415" t="s">
        <v>410</v>
      </c>
      <c r="M7" s="607">
        <v>37</v>
      </c>
      <c r="N7" s="606"/>
      <c r="O7" s="606"/>
      <c r="P7" s="606"/>
      <c r="Q7" s="606"/>
      <c r="R7" s="356">
        <f>I7/MAX(M7,1)</f>
        <v>1</v>
      </c>
      <c r="S7" s="379"/>
      <c r="T7" s="357"/>
      <c r="U7" s="357"/>
      <c r="V7" s="688" t="s">
        <v>697</v>
      </c>
      <c r="W7" s="689"/>
      <c r="X7" s="689"/>
      <c r="Y7" s="689"/>
      <c r="Z7" s="689"/>
      <c r="AA7" s="689"/>
      <c r="AB7" s="689"/>
      <c r="AC7" s="689"/>
      <c r="AD7" s="381"/>
      <c r="AG7" s="671" t="s">
        <v>441</v>
      </c>
      <c r="AH7" s="444"/>
      <c r="AI7" s="669" t="e">
        <f>+VLOOKUP(Y13,Vejledning!A:AP,3,1)</f>
        <v>#N/A</v>
      </c>
      <c r="AJ7" s="669"/>
      <c r="AK7" s="367"/>
      <c r="AL7" s="367"/>
    </row>
    <row r="8" spans="1:41" ht="12.75" customHeight="1" x14ac:dyDescent="0.25">
      <c r="A8" s="317"/>
      <c r="B8" s="681" t="s">
        <v>771</v>
      </c>
      <c r="C8" s="681"/>
      <c r="D8" s="681"/>
      <c r="E8" s="681"/>
      <c r="F8" s="681"/>
      <c r="G8" s="681"/>
      <c r="H8" s="318"/>
      <c r="I8" s="675"/>
      <c r="J8" s="676"/>
      <c r="K8" s="676"/>
      <c r="L8" s="676"/>
      <c r="M8" s="677"/>
      <c r="N8" s="605"/>
      <c r="O8" s="605"/>
      <c r="P8" s="605"/>
      <c r="Q8" s="605"/>
      <c r="S8" s="379"/>
      <c r="T8" s="431"/>
      <c r="U8" s="306"/>
      <c r="V8" s="720" t="s">
        <v>422</v>
      </c>
      <c r="W8" s="720"/>
      <c r="X8" s="720"/>
      <c r="Y8" s="720"/>
      <c r="Z8" s="720"/>
      <c r="AA8" s="720"/>
      <c r="AB8" s="720"/>
      <c r="AC8" s="720"/>
      <c r="AD8" s="410"/>
      <c r="AG8" s="671"/>
      <c r="AH8" s="445"/>
      <c r="AI8" s="669"/>
      <c r="AJ8" s="669"/>
      <c r="AK8" s="370"/>
      <c r="AL8" s="370"/>
    </row>
    <row r="9" spans="1:41" ht="12.75" customHeight="1" x14ac:dyDescent="0.25">
      <c r="A9" s="317"/>
      <c r="B9" s="317" t="s">
        <v>773</v>
      </c>
      <c r="C9" s="317"/>
      <c r="D9" s="317"/>
      <c r="E9" s="317"/>
      <c r="F9" s="317"/>
      <c r="G9" s="317"/>
      <c r="H9" s="569"/>
      <c r="I9" s="695"/>
      <c r="J9" s="696"/>
      <c r="K9" s="696"/>
      <c r="L9" s="697"/>
      <c r="M9" s="326"/>
      <c r="N9" s="335"/>
      <c r="O9" s="729" t="s">
        <v>775</v>
      </c>
      <c r="P9" s="335"/>
      <c r="Q9" s="335"/>
      <c r="S9" s="379"/>
      <c r="T9" s="357"/>
      <c r="U9" s="357"/>
      <c r="V9" s="412"/>
      <c r="W9" s="372"/>
      <c r="X9" s="372"/>
      <c r="Y9" s="372"/>
      <c r="Z9" s="372"/>
      <c r="AA9" s="372"/>
      <c r="AB9" s="372"/>
      <c r="AC9" s="372"/>
      <c r="AD9" s="381"/>
      <c r="AG9" s="443"/>
      <c r="AH9" s="445"/>
      <c r="AI9" s="669"/>
      <c r="AJ9" s="669"/>
      <c r="AK9" s="370"/>
      <c r="AL9" s="370"/>
    </row>
    <row r="10" spans="1:41" ht="12.75" customHeight="1" x14ac:dyDescent="0.25">
      <c r="A10" s="317"/>
      <c r="B10" s="359"/>
      <c r="C10" s="314"/>
      <c r="D10" s="314"/>
      <c r="E10" s="314"/>
      <c r="F10" s="314"/>
      <c r="G10" s="314"/>
      <c r="H10" s="314"/>
      <c r="I10" s="611">
        <f>+IF(+Y13=7101,4,+IF(+Y13=7001,3,+IF(+Y13=3101,1,0)))</f>
        <v>0</v>
      </c>
      <c r="J10" s="577"/>
      <c r="K10" s="577"/>
      <c r="L10" s="582"/>
      <c r="M10" s="583"/>
      <c r="N10" s="306"/>
      <c r="O10" s="730"/>
      <c r="P10" s="306"/>
      <c r="Q10" s="306"/>
      <c r="S10" s="379"/>
      <c r="T10" s="306"/>
      <c r="U10" s="306"/>
      <c r="V10" s="724"/>
      <c r="W10" s="724"/>
      <c r="X10" s="724"/>
      <c r="Y10" s="724"/>
      <c r="Z10" s="724"/>
      <c r="AA10" s="724"/>
      <c r="AB10" s="724"/>
      <c r="AC10" s="724"/>
      <c r="AD10" s="410"/>
      <c r="AE10" s="325"/>
      <c r="AG10" s="443"/>
      <c r="AH10" s="444"/>
      <c r="AI10" s="447" t="s">
        <v>388</v>
      </c>
      <c r="AJ10" s="446"/>
      <c r="AK10" s="370"/>
      <c r="AL10" s="370"/>
    </row>
    <row r="11" spans="1:41" ht="12.75" customHeight="1" x14ac:dyDescent="0.25">
      <c r="A11" s="317"/>
      <c r="B11" s="718" t="s">
        <v>270</v>
      </c>
      <c r="C11" s="718"/>
      <c r="D11" s="718"/>
      <c r="E11" s="718"/>
      <c r="F11" s="718"/>
      <c r="G11" s="314"/>
      <c r="H11" s="315"/>
      <c r="I11" s="324"/>
      <c r="J11" s="339" t="s">
        <v>389</v>
      </c>
      <c r="K11" s="459"/>
      <c r="L11" s="346" t="s">
        <v>726</v>
      </c>
      <c r="M11" s="347">
        <f>VLOOKUP(LønkodeNyLøn,TabelPctReg,2)</f>
        <v>34.464599999999997</v>
      </c>
      <c r="N11" s="602"/>
      <c r="O11" s="730"/>
      <c r="P11" s="602"/>
      <c r="Q11" s="602"/>
      <c r="S11" s="379"/>
      <c r="T11" s="306"/>
      <c r="U11" s="357"/>
      <c r="V11" s="721"/>
      <c r="W11" s="721"/>
      <c r="X11" s="721"/>
      <c r="Y11" s="721"/>
      <c r="Z11" s="721"/>
      <c r="AA11" s="721"/>
      <c r="AB11" s="721"/>
      <c r="AC11" s="721"/>
      <c r="AD11" s="411"/>
      <c r="AG11" s="658" t="e">
        <f>+VLOOKUP(Y13,Vejledning!A:D,4,1)</f>
        <v>#N/A</v>
      </c>
      <c r="AH11" s="658"/>
      <c r="AI11" s="669" t="e">
        <f>+VLOOKUP(Y13,Vejledning!A:AP,5,1)</f>
        <v>#N/A</v>
      </c>
      <c r="AJ11" s="669"/>
      <c r="AK11" s="367"/>
      <c r="AL11" s="367"/>
    </row>
    <row r="12" spans="1:41" ht="9" customHeight="1" x14ac:dyDescent="0.25">
      <c r="A12" s="306"/>
      <c r="B12" s="374"/>
      <c r="C12" s="374"/>
      <c r="D12" s="374"/>
      <c r="E12" s="374"/>
      <c r="F12" s="374"/>
      <c r="G12" s="374"/>
      <c r="O12" s="730"/>
      <c r="S12" s="382"/>
      <c r="T12" s="568" t="s">
        <v>769</v>
      </c>
      <c r="U12" s="366"/>
      <c r="V12" s="357"/>
      <c r="W12" s="357"/>
      <c r="X12" s="357"/>
      <c r="Y12" s="357"/>
      <c r="Z12" s="357"/>
      <c r="AA12" s="357"/>
      <c r="AB12" s="357"/>
      <c r="AC12" s="357"/>
      <c r="AD12" s="383"/>
      <c r="AG12" s="445"/>
      <c r="AH12" s="444"/>
      <c r="AI12" s="446"/>
      <c r="AK12" s="367"/>
      <c r="AL12" s="367"/>
    </row>
    <row r="13" spans="1:41" ht="12" customHeight="1" x14ac:dyDescent="0.25">
      <c r="A13" s="612"/>
      <c r="B13" s="698" t="s">
        <v>709</v>
      </c>
      <c r="C13" s="698"/>
      <c r="D13" s="698"/>
      <c r="E13" s="698"/>
      <c r="F13" s="698"/>
      <c r="G13" s="374"/>
      <c r="H13" s="612"/>
      <c r="I13" s="337" t="s">
        <v>162</v>
      </c>
      <c r="J13" s="337" t="s">
        <v>21</v>
      </c>
      <c r="K13" s="337"/>
      <c r="L13" s="337" t="s">
        <v>234</v>
      </c>
      <c r="M13" s="350" t="s">
        <v>235</v>
      </c>
      <c r="N13" s="350"/>
      <c r="O13" s="730"/>
      <c r="P13" s="350"/>
      <c r="Q13" s="350"/>
      <c r="R13" s="308"/>
      <c r="S13" s="382"/>
      <c r="T13" s="568"/>
      <c r="U13" s="349"/>
      <c r="V13" s="348"/>
      <c r="W13" s="348"/>
      <c r="X13" s="348"/>
      <c r="Y13" s="699"/>
      <c r="Z13" s="700"/>
      <c r="AA13" s="700"/>
      <c r="AB13" s="700"/>
      <c r="AC13" s="701"/>
      <c r="AD13" s="383"/>
      <c r="AG13" s="658" t="e">
        <f>+VLOOKUP(Y13,Vejledning!A:AP,6,1)</f>
        <v>#N/A</v>
      </c>
      <c r="AH13" s="658"/>
      <c r="AI13" s="669" t="e">
        <f>+VLOOKUP(Y13,Vejledning!A:AP,7,1)</f>
        <v>#N/A</v>
      </c>
      <c r="AJ13" s="669"/>
      <c r="AK13" s="368"/>
      <c r="AL13" s="368"/>
    </row>
    <row r="14" spans="1:41" ht="11.25" customHeight="1" x14ac:dyDescent="0.25">
      <c r="A14" s="598"/>
      <c r="B14" s="698"/>
      <c r="C14" s="698"/>
      <c r="D14" s="698"/>
      <c r="E14" s="698"/>
      <c r="F14" s="698"/>
      <c r="G14" s="608"/>
      <c r="H14" s="598"/>
      <c r="I14" s="337" t="s">
        <v>163</v>
      </c>
      <c r="J14" s="337" t="s">
        <v>123</v>
      </c>
      <c r="K14" s="337"/>
      <c r="L14" s="609">
        <f>Dato1-0</f>
        <v>42736</v>
      </c>
      <c r="M14" s="603">
        <f>Dato1-0</f>
        <v>42736</v>
      </c>
      <c r="N14" s="603"/>
      <c r="O14" s="730"/>
      <c r="P14" s="603"/>
      <c r="Q14" s="603"/>
      <c r="R14" s="308"/>
      <c r="S14" s="379"/>
      <c r="T14" s="690" t="e">
        <f>+VLOOKUP(Y13,Vejledning!1:1048576,2,1)</f>
        <v>#N/A</v>
      </c>
      <c r="U14" s="690"/>
      <c r="V14" s="690"/>
      <c r="W14" s="690"/>
      <c r="X14" s="690"/>
      <c r="Y14" s="690"/>
      <c r="Z14" s="690"/>
      <c r="AA14" s="690"/>
      <c r="AB14" s="690"/>
      <c r="AC14" s="690"/>
      <c r="AD14" s="384"/>
      <c r="AG14" s="448"/>
      <c r="AH14" s="444"/>
      <c r="AI14" s="446"/>
      <c r="AJ14" s="449"/>
      <c r="AK14" s="368"/>
      <c r="AL14" s="368"/>
    </row>
    <row r="15" spans="1:41" ht="11.25" customHeight="1" x14ac:dyDescent="0.25">
      <c r="A15" s="310"/>
      <c r="B15" s="719" t="s">
        <v>710</v>
      </c>
      <c r="C15" s="719"/>
      <c r="D15" s="719"/>
      <c r="E15" s="719"/>
      <c r="F15" s="719"/>
      <c r="G15" s="719"/>
      <c r="H15" s="306"/>
      <c r="I15" s="609">
        <f>VLOOKUP(LønkodeNyLøn,TabelPctReg,3)</f>
        <v>36616</v>
      </c>
      <c r="J15" s="337"/>
      <c r="K15" s="337"/>
      <c r="L15" s="609" t="s">
        <v>399</v>
      </c>
      <c r="M15" s="603" t="s">
        <v>399</v>
      </c>
      <c r="N15" s="603"/>
      <c r="O15" s="730"/>
      <c r="P15" s="603"/>
      <c r="Q15" s="603"/>
      <c r="R15" s="311"/>
      <c r="S15" s="385"/>
      <c r="T15" s="690"/>
      <c r="U15" s="690"/>
      <c r="V15" s="690"/>
      <c r="W15" s="690"/>
      <c r="X15" s="690"/>
      <c r="Y15" s="690"/>
      <c r="Z15" s="690"/>
      <c r="AA15" s="690"/>
      <c r="AB15" s="690"/>
      <c r="AC15" s="690"/>
      <c r="AD15" s="390"/>
      <c r="AG15" s="658" t="e">
        <f>+VLOOKUP(Y13,Vejledning!A:AP,8,1)</f>
        <v>#N/A</v>
      </c>
      <c r="AH15" s="658"/>
      <c r="AI15" s="669" t="e">
        <f>+VLOOKUP(Y13,Vejledning!A:AP,9,1)</f>
        <v>#N/A</v>
      </c>
      <c r="AJ15" s="669"/>
      <c r="AK15" s="368"/>
      <c r="AL15" s="368"/>
    </row>
    <row r="16" spans="1:41" ht="5.25" customHeight="1" x14ac:dyDescent="0.25">
      <c r="A16" s="310"/>
      <c r="B16" s="719"/>
      <c r="C16" s="719"/>
      <c r="D16" s="719"/>
      <c r="E16" s="719"/>
      <c r="F16" s="719"/>
      <c r="G16" s="719"/>
      <c r="H16" s="306"/>
      <c r="I16" s="604"/>
      <c r="J16" s="334"/>
      <c r="K16" s="308"/>
      <c r="L16" s="610"/>
      <c r="M16" s="610"/>
      <c r="N16" s="604"/>
      <c r="O16" s="730"/>
      <c r="P16" s="604"/>
      <c r="Q16" s="604"/>
      <c r="R16" s="311"/>
      <c r="S16" s="386"/>
      <c r="T16" s="690"/>
      <c r="U16" s="690"/>
      <c r="V16" s="690"/>
      <c r="W16" s="690"/>
      <c r="X16" s="690"/>
      <c r="Y16" s="690"/>
      <c r="Z16" s="690"/>
      <c r="AA16" s="690"/>
      <c r="AB16" s="690"/>
      <c r="AC16" s="690"/>
      <c r="AD16" s="390"/>
      <c r="AG16" s="448"/>
      <c r="AH16" s="444"/>
      <c r="AI16" s="446"/>
      <c r="AJ16" s="449"/>
      <c r="AK16" s="368"/>
      <c r="AL16" s="368"/>
    </row>
    <row r="17" spans="1:38" ht="12.75" customHeight="1" x14ac:dyDescent="0.25">
      <c r="A17" s="317"/>
      <c r="B17" s="314" t="s">
        <v>391</v>
      </c>
      <c r="C17" s="314"/>
      <c r="D17" s="314"/>
      <c r="E17" s="314"/>
      <c r="F17" s="314"/>
      <c r="G17" s="314"/>
      <c r="H17" s="314"/>
      <c r="I17" s="418"/>
      <c r="J17" s="323"/>
      <c r="K17" s="308"/>
      <c r="L17" s="312">
        <f>ROUND(VLOOKUP(J17,TabelLøn,StartkolonneNyLøn,1)*BeskGradNyLøn,2)</f>
        <v>0</v>
      </c>
      <c r="M17" s="313">
        <f>L17*12</f>
        <v>0</v>
      </c>
      <c r="N17" s="342"/>
      <c r="O17" s="730"/>
      <c r="P17" s="342"/>
      <c r="Q17" s="342"/>
      <c r="S17" s="386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390"/>
      <c r="AG17" s="658" t="e">
        <f>+VLOOKUP(Y13,Vejledning!A:AP,10,1)</f>
        <v>#N/A</v>
      </c>
      <c r="AH17" s="658"/>
      <c r="AI17" s="669" t="e">
        <f>+VLOOKUP(Y13,Vejledning!A:AP,11,1)</f>
        <v>#N/A</v>
      </c>
      <c r="AJ17" s="669"/>
      <c r="AK17" s="368"/>
      <c r="AL17" s="368"/>
    </row>
    <row r="18" spans="1:38" ht="12.75" customHeight="1" x14ac:dyDescent="0.25">
      <c r="A18" s="317"/>
      <c r="B18" s="314"/>
      <c r="C18" s="328" t="s">
        <v>390</v>
      </c>
      <c r="D18" s="314"/>
      <c r="E18" s="314"/>
      <c r="F18" s="314"/>
      <c r="G18" s="314"/>
      <c r="H18" s="315"/>
      <c r="I18" s="316"/>
      <c r="J18" s="427"/>
      <c r="K18" s="308"/>
      <c r="L18" s="312">
        <f>ROUND(I18/12*BeskGradNyLøn*(1+PctRegNyLøn%),2)</f>
        <v>0</v>
      </c>
      <c r="M18" s="313">
        <f>L18*12</f>
        <v>0</v>
      </c>
      <c r="N18" s="342"/>
      <c r="O18" s="730"/>
      <c r="P18" s="342"/>
      <c r="Q18" s="342"/>
      <c r="S18" s="387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388"/>
      <c r="AG18" s="443"/>
      <c r="AH18" s="444"/>
      <c r="AI18" s="446"/>
      <c r="AK18" s="367"/>
      <c r="AL18" s="367"/>
    </row>
    <row r="19" spans="1:38" ht="12.75" customHeight="1" x14ac:dyDescent="0.25">
      <c r="A19" s="317"/>
      <c r="B19" s="317"/>
      <c r="C19" s="317"/>
      <c r="D19" s="317"/>
      <c r="E19" s="317"/>
      <c r="F19" s="317"/>
      <c r="G19" s="317"/>
      <c r="H19" s="317"/>
      <c r="I19" s="329"/>
      <c r="J19" s="308"/>
      <c r="K19" s="308"/>
      <c r="L19" s="329"/>
      <c r="M19" s="329"/>
      <c r="N19" s="598"/>
      <c r="O19" s="730"/>
      <c r="P19" s="598"/>
      <c r="Q19" s="598"/>
      <c r="R19" s="686" t="s">
        <v>424</v>
      </c>
      <c r="S19" s="686"/>
      <c r="T19" s="686"/>
      <c r="U19" s="686"/>
      <c r="V19" s="686"/>
      <c r="W19" s="686"/>
      <c r="X19" s="686"/>
      <c r="Y19" s="686"/>
      <c r="Z19" s="686"/>
      <c r="AA19" s="686"/>
      <c r="AB19" s="686"/>
      <c r="AC19" s="686"/>
      <c r="AD19" s="686"/>
      <c r="AE19" s="686"/>
      <c r="AG19" s="658" t="e">
        <f>+VLOOKUP(Y13,Vejledning!A:AP,12,1)</f>
        <v>#N/A</v>
      </c>
      <c r="AH19" s="658"/>
      <c r="AI19" s="669" t="e">
        <f>+VLOOKUP(Y13,Vejledning!A:AP,13,1)</f>
        <v>#N/A</v>
      </c>
      <c r="AJ19" s="669"/>
      <c r="AK19" s="367"/>
      <c r="AL19" s="367"/>
    </row>
    <row r="20" spans="1:38" ht="12.75" customHeight="1" x14ac:dyDescent="0.25">
      <c r="A20" s="317"/>
      <c r="B20" s="327" t="s">
        <v>145</v>
      </c>
      <c r="C20" s="327"/>
      <c r="D20" s="327"/>
      <c r="E20" s="310"/>
      <c r="F20" s="310"/>
      <c r="G20" s="310"/>
      <c r="H20" s="310"/>
      <c r="I20" s="310"/>
      <c r="J20" s="308"/>
      <c r="K20" s="308"/>
      <c r="L20" s="310"/>
      <c r="M20" s="310"/>
      <c r="N20" s="310"/>
      <c r="O20" s="730"/>
      <c r="P20" s="310"/>
      <c r="Q20" s="310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G20" s="658"/>
      <c r="AH20" s="658"/>
      <c r="AI20" s="669"/>
      <c r="AJ20" s="669"/>
      <c r="AK20" s="367"/>
      <c r="AL20" s="367"/>
    </row>
    <row r="21" spans="1:38" ht="6" customHeight="1" x14ac:dyDescent="0.25">
      <c r="A21" s="317"/>
      <c r="B21" s="310"/>
      <c r="C21" s="330" t="s">
        <v>388</v>
      </c>
      <c r="D21" s="306"/>
      <c r="E21" s="306"/>
      <c r="F21" s="306"/>
      <c r="G21" s="306"/>
      <c r="H21" s="306"/>
      <c r="I21" s="306"/>
      <c r="J21" s="331"/>
      <c r="K21" s="308"/>
      <c r="L21" s="306"/>
      <c r="M21" s="306"/>
      <c r="N21" s="306"/>
      <c r="O21" s="730"/>
      <c r="P21" s="306"/>
      <c r="Q21" s="306"/>
      <c r="R21" s="306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G21" s="450"/>
      <c r="AH21" s="450"/>
      <c r="AI21" s="449"/>
      <c r="AK21" s="367"/>
      <c r="AL21" s="367"/>
    </row>
    <row r="22" spans="1:38" ht="12.75" customHeight="1" x14ac:dyDescent="0.25">
      <c r="A22" s="317"/>
      <c r="B22" s="310"/>
      <c r="C22" s="306" t="s">
        <v>395</v>
      </c>
      <c r="D22" s="310"/>
      <c r="E22" s="310"/>
      <c r="F22" s="310"/>
      <c r="G22" s="310"/>
      <c r="H22" s="310"/>
      <c r="I22" s="418"/>
      <c r="J22" s="323"/>
      <c r="K22" s="308"/>
      <c r="L22" s="312">
        <f>ROUND((VLOOKUP($J$17+J22,TabelLøn,StartkolonneNyLøn,1)-VLOOKUP($J$17,TabelLøn,StartkolonneNyLøn,1))*BeskGradNyLøn,2)</f>
        <v>0</v>
      </c>
      <c r="M22" s="313">
        <f>L22*12</f>
        <v>0</v>
      </c>
      <c r="N22" s="726" t="s">
        <v>776</v>
      </c>
      <c r="O22" s="727"/>
      <c r="P22" s="727"/>
      <c r="Q22" s="727"/>
      <c r="R22" s="728"/>
      <c r="S22" s="675"/>
      <c r="T22" s="676"/>
      <c r="U22" s="676"/>
      <c r="V22" s="676"/>
      <c r="W22" s="676"/>
      <c r="X22" s="676"/>
      <c r="Y22" s="676"/>
      <c r="Z22" s="676"/>
      <c r="AA22" s="676"/>
      <c r="AB22" s="676"/>
      <c r="AC22" s="676"/>
      <c r="AD22" s="677"/>
      <c r="AG22" s="658" t="e">
        <f>+VLOOKUP(Y13,Vejledning!A:AP,14,1)</f>
        <v>#N/A</v>
      </c>
      <c r="AH22" s="658"/>
      <c r="AI22" s="669" t="e">
        <f>+VLOOKUP(Y13,Vejledning!A:AP,15,1)</f>
        <v>#N/A</v>
      </c>
      <c r="AJ22" s="669"/>
      <c r="AK22" s="367"/>
      <c r="AL22" s="367"/>
    </row>
    <row r="23" spans="1:38" ht="12.75" customHeight="1" x14ac:dyDescent="0.25">
      <c r="A23" s="317"/>
      <c r="B23" s="310"/>
      <c r="C23" s="306" t="s">
        <v>478</v>
      </c>
      <c r="D23" s="310"/>
      <c r="E23" s="310"/>
      <c r="F23" s="310"/>
      <c r="G23" s="310"/>
      <c r="H23" s="318"/>
      <c r="I23" s="316"/>
      <c r="J23" s="422"/>
      <c r="K23" s="308"/>
      <c r="L23" s="312">
        <f>IF(P23=1,ROUND(I23/12*BeskGradNyLøn*(1+PctRegNyLøn%),2),(ROUND((1+PctRegNyLøn%)*I23/12,2)))</f>
        <v>0</v>
      </c>
      <c r="M23" s="313">
        <f>L23*12</f>
        <v>0</v>
      </c>
      <c r="N23" s="322"/>
      <c r="O23" s="596"/>
      <c r="P23" s="592">
        <f t="shared" ref="P23" si="0">IF(O23="x",0,1)</f>
        <v>1</v>
      </c>
      <c r="Q23" s="322"/>
      <c r="S23" s="675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7"/>
      <c r="AG23" s="658"/>
      <c r="AH23" s="658"/>
      <c r="AI23" s="669"/>
      <c r="AJ23" s="669"/>
      <c r="AK23" s="367"/>
      <c r="AL23" s="367"/>
    </row>
    <row r="24" spans="1:38" ht="12.75" customHeight="1" x14ac:dyDescent="0.25">
      <c r="A24" s="317"/>
      <c r="B24" s="310"/>
      <c r="C24" s="330" t="s">
        <v>388</v>
      </c>
      <c r="D24" s="306"/>
      <c r="E24" s="306"/>
      <c r="F24" s="306"/>
      <c r="G24" s="306"/>
      <c r="H24" s="306"/>
      <c r="I24" s="306"/>
      <c r="J24" s="331"/>
      <c r="K24" s="308"/>
      <c r="L24" s="306"/>
      <c r="M24" s="306"/>
      <c r="N24" s="306"/>
      <c r="O24" s="306"/>
      <c r="P24" s="306"/>
      <c r="Q24" s="306"/>
      <c r="R24" s="306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G24" s="658" t="e">
        <f>+VLOOKUP(Y13,Vejledning!A:AP,16,1)</f>
        <v>#N/A</v>
      </c>
      <c r="AH24" s="658"/>
      <c r="AI24" s="669" t="e">
        <f>+VLOOKUP(Y13,Vejledning!A:AP,17,1)</f>
        <v>#N/A</v>
      </c>
      <c r="AJ24" s="669"/>
      <c r="AK24" s="367"/>
      <c r="AL24" s="367"/>
    </row>
    <row r="25" spans="1:38" ht="12.75" customHeight="1" x14ac:dyDescent="0.25">
      <c r="A25" s="317"/>
      <c r="B25" s="310"/>
      <c r="C25" s="306" t="s">
        <v>393</v>
      </c>
      <c r="D25" s="310"/>
      <c r="E25" s="310"/>
      <c r="F25" s="310"/>
      <c r="G25" s="310"/>
      <c r="H25" s="310"/>
      <c r="I25" s="419"/>
      <c r="J25" s="323"/>
      <c r="K25" s="308"/>
      <c r="L25" s="312">
        <f>ROUND((VLOOKUP($J$17+J22+J25,TabelLøn,StartkolonneNyLøn,1)-VLOOKUP($J$17+J22,TabelLøn,StartkolonneNyLøn,1))*BeskGradNyLøn,2)</f>
        <v>0</v>
      </c>
      <c r="M25" s="313">
        <f t="shared" ref="M25:M32" si="1">L25*12</f>
        <v>0</v>
      </c>
      <c r="N25" s="322"/>
      <c r="O25" s="322"/>
      <c r="P25" s="322"/>
      <c r="Q25" s="322"/>
      <c r="S25" s="675"/>
      <c r="T25" s="676"/>
      <c r="U25" s="676"/>
      <c r="V25" s="676"/>
      <c r="W25" s="676"/>
      <c r="X25" s="676"/>
      <c r="Y25" s="676"/>
      <c r="Z25" s="676"/>
      <c r="AA25" s="676"/>
      <c r="AB25" s="676"/>
      <c r="AC25" s="676"/>
      <c r="AD25" s="677"/>
      <c r="AG25" s="658"/>
      <c r="AH25" s="658"/>
      <c r="AI25" s="669"/>
      <c r="AJ25" s="669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ROUND((VLOOKUP($J$17+J22+J25+J26,TabelLøn,StartkolonneNyLøn,1)-VLOOKUP($J$17+J22+J25,TabelLøn,StartkolonneNyLøn,1))*BeskGradNyLøn,2)</f>
        <v>0</v>
      </c>
      <c r="M26" s="313">
        <f t="shared" si="1"/>
        <v>0</v>
      </c>
      <c r="N26" s="322"/>
      <c r="O26" s="322"/>
      <c r="P26" s="322"/>
      <c r="Q26" s="322"/>
      <c r="S26" s="675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7"/>
      <c r="AG26" s="658" t="e">
        <f>+VLOOKUP(Y13,Vejledning!A:AP,18,1)</f>
        <v>#N/A</v>
      </c>
      <c r="AH26" s="658"/>
      <c r="AI26" s="669" t="e">
        <f>+VLOOKUP(Y13,Vejledning!A:AP,19,1)</f>
        <v>#N/A</v>
      </c>
      <c r="AJ26" s="669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ROUND((VLOOKUP($J$17+J22+J25+J26+J27,TabelLøn,StartkolonneNyLøn,1)-VLOOKUP($J$17+J22+J25+J26,TabelLøn,StartkolonneNyLøn,1))*BeskGradNyLøn,2)</f>
        <v>0</v>
      </c>
      <c r="M27" s="313">
        <f t="shared" si="1"/>
        <v>0</v>
      </c>
      <c r="N27" s="322"/>
      <c r="O27" s="322"/>
      <c r="P27" s="322"/>
      <c r="Q27" s="322"/>
      <c r="S27" s="675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7"/>
      <c r="AG27" s="658"/>
      <c r="AH27" s="658"/>
      <c r="AI27" s="669"/>
      <c r="AJ27" s="669"/>
      <c r="AK27" s="367"/>
      <c r="AL27" s="367"/>
    </row>
    <row r="28" spans="1:38" ht="12.75" hidden="1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ROUND((VLOOKUP($J$17+J22+J25+J26+J27+J28,TabelLøn,StartkolonneNyLøn,1)-VLOOKUP($J$17+J22+J25+J26+J27,TabelLøn,StartkolonneNyLøn,1))*BeskGradNyLøn,2)</f>
        <v>0</v>
      </c>
      <c r="M28" s="313">
        <f t="shared" si="1"/>
        <v>0</v>
      </c>
      <c r="N28" s="322"/>
      <c r="O28" s="322"/>
      <c r="P28" s="322"/>
      <c r="Q28" s="322"/>
      <c r="S28" s="675"/>
      <c r="T28" s="676"/>
      <c r="U28" s="676"/>
      <c r="V28" s="676"/>
      <c r="W28" s="676"/>
      <c r="X28" s="676"/>
      <c r="Y28" s="676"/>
      <c r="Z28" s="676"/>
      <c r="AA28" s="676"/>
      <c r="AB28" s="676"/>
      <c r="AC28" s="676"/>
      <c r="AD28" s="677"/>
      <c r="AG28" s="658" t="e">
        <f>+VLOOKUP(Y13,Vejledning!A:AP,20,1)</f>
        <v>#N/A</v>
      </c>
      <c r="AH28" s="658"/>
      <c r="AI28" s="669" t="e">
        <f>+VLOOKUP(Y13,Vejledning!A:AP,21,1)</f>
        <v>#N/A</v>
      </c>
      <c r="AJ28" s="669"/>
      <c r="AK28" s="367"/>
      <c r="AL28" s="367"/>
    </row>
    <row r="29" spans="1:38" ht="12.75" hidden="1" customHeight="1" x14ac:dyDescent="0.25">
      <c r="A29" s="317"/>
      <c r="B29" s="310"/>
      <c r="C29" s="306" t="s">
        <v>479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6"/>
      <c r="P29" s="592">
        <f t="shared" ref="P29" si="2">IF(O29="x",0,1)</f>
        <v>1</v>
      </c>
      <c r="Q29" s="322"/>
      <c r="S29" s="675"/>
      <c r="T29" s="676"/>
      <c r="U29" s="676"/>
      <c r="V29" s="676"/>
      <c r="W29" s="676"/>
      <c r="X29" s="676"/>
      <c r="Y29" s="676"/>
      <c r="Z29" s="676"/>
      <c r="AA29" s="676"/>
      <c r="AB29" s="676"/>
      <c r="AC29" s="676"/>
      <c r="AD29" s="677"/>
      <c r="AG29" s="658"/>
      <c r="AH29" s="658"/>
      <c r="AI29" s="669"/>
      <c r="AJ29" s="669"/>
      <c r="AK29" s="367"/>
      <c r="AL29" s="367"/>
    </row>
    <row r="30" spans="1:38" ht="12.75" customHeight="1" x14ac:dyDescent="0.25">
      <c r="A30" s="317"/>
      <c r="B30" s="310"/>
      <c r="C30" s="306" t="s">
        <v>479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6"/>
      <c r="P30" s="592">
        <f t="shared" ref="P30:P32" si="3">IF(O30="x",0,1)</f>
        <v>1</v>
      </c>
      <c r="Q30" s="322"/>
      <c r="S30" s="675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7"/>
      <c r="AG30" s="658" t="e">
        <f>+VLOOKUP(Y13,Vejledning!A:AP,22,1)</f>
        <v>#N/A</v>
      </c>
      <c r="AH30" s="658"/>
      <c r="AI30" s="669" t="e">
        <f>+VLOOKUP(Y13,Vejledning!A:AP,23,1)</f>
        <v>#N/A</v>
      </c>
      <c r="AJ30" s="669"/>
      <c r="AK30" s="367"/>
      <c r="AL30" s="367"/>
    </row>
    <row r="31" spans="1:38" ht="12.75" customHeight="1" x14ac:dyDescent="0.25">
      <c r="A31" s="317"/>
      <c r="B31" s="310"/>
      <c r="C31" s="306" t="s">
        <v>479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6"/>
      <c r="P31" s="592">
        <f t="shared" si="3"/>
        <v>1</v>
      </c>
      <c r="Q31" s="322"/>
      <c r="S31" s="675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7"/>
      <c r="AG31" s="658"/>
      <c r="AH31" s="658"/>
      <c r="AI31" s="669"/>
      <c r="AJ31" s="669"/>
      <c r="AK31" s="367"/>
      <c r="AL31" s="367"/>
    </row>
    <row r="32" spans="1:38" ht="12.75" customHeight="1" x14ac:dyDescent="0.25">
      <c r="A32" s="317"/>
      <c r="B32" s="310"/>
      <c r="C32" s="306" t="s">
        <v>479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6"/>
      <c r="P32" s="592">
        <f t="shared" si="3"/>
        <v>1</v>
      </c>
      <c r="Q32" s="322"/>
      <c r="S32" s="675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7"/>
      <c r="AG32" s="658" t="e">
        <f>+VLOOKUP(Y13,Vejledning!A:AP,24,1)</f>
        <v>#N/A</v>
      </c>
      <c r="AH32" s="658"/>
      <c r="AI32" s="669" t="e">
        <f>+VLOOKUP(Y13,Vejledning!A:AP,25,1)</f>
        <v>#N/A</v>
      </c>
      <c r="AJ32" s="669"/>
      <c r="AK32" s="367"/>
      <c r="AL32" s="367"/>
    </row>
    <row r="33" spans="1:38" ht="12.75" customHeight="1" x14ac:dyDescent="0.25">
      <c r="A33" s="317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306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G33" s="444"/>
      <c r="AH33" s="444"/>
      <c r="AI33" s="446"/>
      <c r="AK33" s="367"/>
      <c r="AL33" s="367"/>
    </row>
    <row r="34" spans="1:38" ht="12.75" customHeight="1" x14ac:dyDescent="0.25">
      <c r="A34" s="317"/>
      <c r="B34" s="310"/>
      <c r="C34" s="306" t="s">
        <v>480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6"/>
      <c r="P34" s="592">
        <f t="shared" ref="P34" si="4">IF(O34="x",0,1)</f>
        <v>1</v>
      </c>
      <c r="Q34" s="322"/>
      <c r="S34" s="675"/>
      <c r="T34" s="676"/>
      <c r="U34" s="676"/>
      <c r="V34" s="676"/>
      <c r="W34" s="676"/>
      <c r="X34" s="676"/>
      <c r="Y34" s="676"/>
      <c r="Z34" s="676"/>
      <c r="AA34" s="676"/>
      <c r="AB34" s="676"/>
      <c r="AC34" s="676"/>
      <c r="AD34" s="677"/>
      <c r="AG34" s="658" t="e">
        <f>+VLOOKUP(Y13,Vejledning!A:AP,26,1)</f>
        <v>#N/A</v>
      </c>
      <c r="AH34" s="658"/>
      <c r="AI34" s="669" t="e">
        <f>+VLOOKUP(Y13,Vejledning!A:AP,27,1)</f>
        <v>#N/A</v>
      </c>
      <c r="AJ34" s="669"/>
      <c r="AK34" s="367"/>
      <c r="AL34" s="367"/>
    </row>
    <row r="35" spans="1:38" ht="12.75" customHeight="1" x14ac:dyDescent="0.25">
      <c r="A35" s="317"/>
      <c r="B35" s="310"/>
      <c r="C35" s="306" t="s">
        <v>481</v>
      </c>
      <c r="D35" s="310"/>
      <c r="E35" s="310"/>
      <c r="F35" s="310"/>
      <c r="G35" s="310"/>
      <c r="H35" s="31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6"/>
      <c r="P35" s="592">
        <f t="shared" ref="P35" si="5">IF(O35="x",0,1)</f>
        <v>1</v>
      </c>
      <c r="Q35" s="322"/>
      <c r="S35" s="675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7"/>
      <c r="AG35" s="444"/>
      <c r="AH35" s="444"/>
      <c r="AI35" s="446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725" t="s">
        <v>768</v>
      </c>
      <c r="N36" s="725"/>
      <c r="O36" s="725"/>
      <c r="P36" s="725"/>
      <c r="Q36" s="725"/>
      <c r="R36" s="725"/>
      <c r="S36" s="725"/>
      <c r="T36" s="725"/>
      <c r="U36" s="725"/>
      <c r="V36" s="725"/>
      <c r="W36" s="725"/>
      <c r="X36" s="725"/>
      <c r="Y36" s="725"/>
      <c r="Z36" s="725"/>
      <c r="AA36" s="725"/>
      <c r="AB36" s="725"/>
      <c r="AC36" s="725"/>
      <c r="AD36" s="725"/>
      <c r="AE36" s="566"/>
      <c r="AG36" s="444"/>
      <c r="AH36" s="444"/>
      <c r="AI36" s="669"/>
      <c r="AJ36" s="669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566"/>
      <c r="AG37" s="658" t="e">
        <f>+VLOOKUP(Y13,Vejledning!A:AP,28,1)</f>
        <v>#N/A</v>
      </c>
      <c r="AH37" s="658"/>
      <c r="AI37" s="669" t="e">
        <f>+VLOOKUP(Y13,Vejledning!A:AP,29,1)</f>
        <v>#N/A</v>
      </c>
      <c r="AJ37" s="669"/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306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G38" s="444"/>
      <c r="AH38" s="444"/>
      <c r="AI38" s="446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ROUND((VLOOKUP($J$17+J22+J25+J26+J27+J28+J39,TabelLøn,StartkolonneNyLøn,1)-VLOOKUP($J$17+J22+J25+J26+J27+J28,TabelLøn,StartkolonneNyLøn,1))*BeskGradNyLøn,2)</f>
        <v>0</v>
      </c>
      <c r="M39" s="313">
        <f>L39*12</f>
        <v>0</v>
      </c>
      <c r="N39" s="322"/>
      <c r="O39" s="322"/>
      <c r="P39" s="322"/>
      <c r="Q39" s="322"/>
      <c r="S39" s="675"/>
      <c r="T39" s="676"/>
      <c r="U39" s="676"/>
      <c r="V39" s="676"/>
      <c r="W39" s="676"/>
      <c r="X39" s="676"/>
      <c r="Y39" s="676"/>
      <c r="Z39" s="676"/>
      <c r="AA39" s="676"/>
      <c r="AB39" s="676"/>
      <c r="AC39" s="676"/>
      <c r="AD39" s="677"/>
      <c r="AG39" s="658" t="e">
        <f>+VLOOKUP(Y13,Vejledning!A:AP,30,1)</f>
        <v>#N/A</v>
      </c>
      <c r="AH39" s="658"/>
      <c r="AI39" s="669" t="e">
        <f>+VLOOKUP(Y13,Vejledning!A:AP,31,1)</f>
        <v>#N/A</v>
      </c>
      <c r="AJ39" s="669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9"/>
      <c r="J40" s="323"/>
      <c r="K40" s="308"/>
      <c r="L40" s="312">
        <f>ROUND((VLOOKUP($J$17+J22+J25+J26+J27+J28+J39+J40,TabelLøn,StartkolonneNyLøn,1)-VLOOKUP($J$17+J22+J25+J26+J27+J28+J39,TabelLøn,StartkolonneNyLøn,1))*BeskGradNyLøn,2)</f>
        <v>0</v>
      </c>
      <c r="M40" s="313">
        <f>L40*12</f>
        <v>0</v>
      </c>
      <c r="N40" s="322"/>
      <c r="O40" s="322"/>
      <c r="P40" s="322"/>
      <c r="Q40" s="322"/>
      <c r="S40" s="675"/>
      <c r="T40" s="676"/>
      <c r="U40" s="676"/>
      <c r="V40" s="676"/>
      <c r="W40" s="676"/>
      <c r="X40" s="676"/>
      <c r="Y40" s="676"/>
      <c r="Z40" s="676"/>
      <c r="AA40" s="676"/>
      <c r="AB40" s="676"/>
      <c r="AC40" s="676"/>
      <c r="AD40" s="677"/>
      <c r="AG40" s="444"/>
      <c r="AH40" s="444"/>
      <c r="AI40" s="446"/>
      <c r="AK40" s="367"/>
      <c r="AL40" s="367"/>
    </row>
    <row r="41" spans="1:38" ht="12.75" customHeight="1" x14ac:dyDescent="0.25">
      <c r="A41" s="317"/>
      <c r="B41" s="310"/>
      <c r="C41" s="306" t="s">
        <v>397</v>
      </c>
      <c r="D41" s="310"/>
      <c r="E41" s="310"/>
      <c r="F41" s="310"/>
      <c r="G41" s="310"/>
      <c r="H41" s="310"/>
      <c r="I41" s="418"/>
      <c r="J41" s="323"/>
      <c r="K41" s="308"/>
      <c r="L41" s="312">
        <f>ROUND((VLOOKUP($J$17+J22+J25+J26+J27+J28+J39+J40+J41,TabelLøn,StartkolonneNyLøn,1)-VLOOKUP($J$17+J22+J25+J26+J27+J28+J39+J40,TabelLøn,StartkolonneNyLøn,1))*BeskGradNyLøn,2)</f>
        <v>0</v>
      </c>
      <c r="M41" s="313">
        <f t="shared" ref="M41:M58" si="6">L41*12</f>
        <v>0</v>
      </c>
      <c r="N41" s="322"/>
      <c r="O41" s="322"/>
      <c r="P41" s="322"/>
      <c r="Q41" s="322"/>
      <c r="S41" s="675"/>
      <c r="T41" s="676"/>
      <c r="U41" s="676"/>
      <c r="V41" s="676"/>
      <c r="W41" s="676"/>
      <c r="X41" s="676"/>
      <c r="Y41" s="676"/>
      <c r="Z41" s="676"/>
      <c r="AA41" s="676"/>
      <c r="AB41" s="676"/>
      <c r="AC41" s="676"/>
      <c r="AD41" s="677"/>
      <c r="AG41" s="658" t="e">
        <f>+VLOOKUP(Y13,Vejledning!A:AP,32,1)</f>
        <v>#N/A</v>
      </c>
      <c r="AH41" s="658"/>
      <c r="AI41" s="669" t="e">
        <f>+VLOOKUP(Y13,Vejledning!A:AP,33,1)</f>
        <v>#N/A</v>
      </c>
      <c r="AJ41" s="669"/>
      <c r="AK41" s="367"/>
      <c r="AL41" s="367"/>
    </row>
    <row r="42" spans="1:38" ht="12.75" customHeight="1" x14ac:dyDescent="0.25">
      <c r="A42" s="306"/>
      <c r="B42" s="310"/>
      <c r="C42" s="306" t="s">
        <v>398</v>
      </c>
      <c r="D42" s="310"/>
      <c r="E42" s="310"/>
      <c r="F42" s="310"/>
      <c r="G42" s="310"/>
      <c r="H42" s="318"/>
      <c r="I42" s="316"/>
      <c r="J42" s="422"/>
      <c r="K42" s="308"/>
      <c r="L42" s="312">
        <f>IF(P42=1,ROUND(I42/12*BeskGradNyLøn*(1+PctRegNyLøn%),2),(ROUND((1+PctRegNyLøn%)*I42/12,2)))</f>
        <v>0</v>
      </c>
      <c r="M42" s="313">
        <f t="shared" si="6"/>
        <v>0</v>
      </c>
      <c r="N42" s="322"/>
      <c r="O42" s="596"/>
      <c r="P42" s="592">
        <f t="shared" ref="P42:P44" si="7">IF(O42="x",0,1)</f>
        <v>1</v>
      </c>
      <c r="Q42" s="322"/>
      <c r="S42" s="675"/>
      <c r="T42" s="676"/>
      <c r="U42" s="676"/>
      <c r="V42" s="676"/>
      <c r="W42" s="676"/>
      <c r="X42" s="676"/>
      <c r="Y42" s="676"/>
      <c r="Z42" s="676"/>
      <c r="AA42" s="676"/>
      <c r="AB42" s="676"/>
      <c r="AC42" s="676"/>
      <c r="AD42" s="677"/>
      <c r="AG42" s="444"/>
      <c r="AH42" s="444"/>
      <c r="AI42" s="446"/>
      <c r="AK42" s="367"/>
      <c r="AL42" s="367"/>
    </row>
    <row r="43" spans="1:38" ht="12.75" customHeight="1" x14ac:dyDescent="0.25">
      <c r="A43" s="306"/>
      <c r="B43" s="310"/>
      <c r="C43" s="306" t="s">
        <v>398</v>
      </c>
      <c r="D43" s="310"/>
      <c r="E43" s="310"/>
      <c r="F43" s="310"/>
      <c r="G43" s="310"/>
      <c r="H43" s="318"/>
      <c r="I43" s="316"/>
      <c r="J43" s="423"/>
      <c r="K43" s="308"/>
      <c r="L43" s="312">
        <f>IF(P43=1,ROUND(I43/12*BeskGradNyLøn*(1+PctRegNyLøn%),2),(ROUND((1+PctRegNyLøn%)*I43/12,2)))</f>
        <v>0</v>
      </c>
      <c r="M43" s="313">
        <f>L43*12</f>
        <v>0</v>
      </c>
      <c r="N43" s="322"/>
      <c r="O43" s="596"/>
      <c r="P43" s="592">
        <f t="shared" si="7"/>
        <v>1</v>
      </c>
      <c r="Q43" s="322"/>
      <c r="S43" s="675"/>
      <c r="T43" s="676"/>
      <c r="U43" s="676"/>
      <c r="V43" s="676"/>
      <c r="W43" s="676"/>
      <c r="X43" s="676"/>
      <c r="Y43" s="676"/>
      <c r="Z43" s="676"/>
      <c r="AA43" s="676"/>
      <c r="AB43" s="676"/>
      <c r="AC43" s="676"/>
      <c r="AD43" s="677"/>
      <c r="AG43" s="658" t="e">
        <f>+VLOOKUP(Y13,Vejledning!A:AP,34,1)</f>
        <v>#N/A</v>
      </c>
      <c r="AH43" s="658"/>
      <c r="AI43" s="669" t="e">
        <f>+VLOOKUP(Y13,Vejledning!A:AP,35,1)</f>
        <v>#N/A</v>
      </c>
      <c r="AJ43" s="669"/>
      <c r="AK43" s="367"/>
      <c r="AL43" s="367"/>
    </row>
    <row r="44" spans="1:38" ht="12.75" customHeight="1" x14ac:dyDescent="0.25">
      <c r="A44" s="306"/>
      <c r="B44" s="310"/>
      <c r="C44" s="306" t="s">
        <v>398</v>
      </c>
      <c r="D44" s="310"/>
      <c r="E44" s="310"/>
      <c r="F44" s="310"/>
      <c r="G44" s="310"/>
      <c r="H44" s="318"/>
      <c r="I44" s="316"/>
      <c r="J44" s="423"/>
      <c r="K44" s="308"/>
      <c r="L44" s="312">
        <f>IF(P44=1,ROUND(I44/12*BeskGradNyLøn*(1+PctRegNyLøn%),2),(ROUND((1+PctRegNyLøn%)*I44/12,2)))</f>
        <v>0</v>
      </c>
      <c r="M44" s="313">
        <f t="shared" si="6"/>
        <v>0</v>
      </c>
      <c r="N44" s="322"/>
      <c r="O44" s="596"/>
      <c r="P44" s="592">
        <f t="shared" si="7"/>
        <v>1</v>
      </c>
      <c r="Q44" s="322"/>
      <c r="S44" s="675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7"/>
      <c r="AG44" s="444"/>
      <c r="AH44" s="444"/>
      <c r="AI44" s="669"/>
      <c r="AJ44" s="669"/>
      <c r="AK44" s="367"/>
      <c r="AL44" s="367"/>
    </row>
    <row r="45" spans="1:38" ht="6" customHeight="1" x14ac:dyDescent="0.25">
      <c r="A45" s="317"/>
      <c r="B45" s="310"/>
      <c r="C45" s="306"/>
      <c r="D45" s="306"/>
      <c r="E45" s="306"/>
      <c r="F45" s="306"/>
      <c r="G45" s="306"/>
      <c r="H45" s="306"/>
      <c r="I45" s="306"/>
      <c r="J45" s="331"/>
      <c r="K45" s="308"/>
      <c r="L45" s="306"/>
      <c r="M45" s="306"/>
      <c r="N45" s="306"/>
      <c r="O45" s="306"/>
      <c r="P45" s="306"/>
      <c r="Q45" s="306"/>
      <c r="R45" s="306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G45" s="444"/>
      <c r="AH45" s="444"/>
      <c r="AI45" s="669"/>
      <c r="AJ45" s="669"/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ROUND((VLOOKUP($J$17+J22+J25+J26+J27+J28+J39+J40+J41+J46,TabelLøn,StartkolonneNyLøn,1)-VLOOKUP($J$17+J22+J25+J26+J27+J28+J39+J40+J41,TabelLøn,StartkolonneNyLøn,1))*BeskGradNyLøn,2)</f>
        <v>0</v>
      </c>
      <c r="M46" s="313">
        <f t="shared" ref="M46:M52" si="8">L46*12</f>
        <v>0</v>
      </c>
      <c r="N46" s="322"/>
      <c r="O46" s="322"/>
      <c r="P46" s="322"/>
      <c r="Q46" s="322"/>
      <c r="S46" s="675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7"/>
      <c r="AG46" s="658"/>
      <c r="AH46" s="658"/>
      <c r="AI46" s="669"/>
      <c r="AJ46" s="669"/>
      <c r="AK46" s="367"/>
      <c r="AL46" s="367"/>
    </row>
    <row r="47" spans="1:38" ht="12.75" customHeight="1" x14ac:dyDescent="0.25">
      <c r="A47" s="317"/>
      <c r="B47" s="310"/>
      <c r="C47" s="306" t="s">
        <v>401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ROUND((VLOOKUP($J$17+J22+J25+J26+J27+J28+J39+J40+J41+J46+J47,TabelLøn,StartkolonneNyLøn,1)-VLOOKUP($J$17+J22+J25+J26+J27+J28+J39+J40+J41+J46,TabelLøn,StartkolonneNyLøn,1))*BeskGradNyLøn,2)</f>
        <v>0</v>
      </c>
      <c r="M47" s="313">
        <f t="shared" si="8"/>
        <v>0</v>
      </c>
      <c r="N47" s="322"/>
      <c r="O47" s="322"/>
      <c r="P47" s="322"/>
      <c r="Q47" s="322"/>
      <c r="S47" s="675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7"/>
      <c r="AG47" s="448"/>
      <c r="AH47" s="450"/>
      <c r="AI47" s="446"/>
      <c r="AK47" s="367"/>
      <c r="AL47" s="367"/>
    </row>
    <row r="48" spans="1:38" ht="12.75" customHeight="1" x14ac:dyDescent="0.25">
      <c r="A48" s="317"/>
      <c r="B48" s="310"/>
      <c r="C48" s="306" t="s">
        <v>401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ROUND((VLOOKUP($J$17+J22+J25+J26+J27+J28+J39+J40+J41+J46+J47+J48,TabelLøn,StartkolonneNyLøn,1)-VLOOKUP($J$17+J22+J25+J26+J27+J28+J39+J40+J41+J46+J47,TabelLøn,StartkolonneNyLøn,1))*BeskGradNyLøn,2)</f>
        <v>0</v>
      </c>
      <c r="M48" s="313">
        <f t="shared" si="8"/>
        <v>0</v>
      </c>
      <c r="N48" s="322"/>
      <c r="O48" s="322"/>
      <c r="P48" s="322"/>
      <c r="Q48" s="322"/>
      <c r="S48" s="675"/>
      <c r="T48" s="676"/>
      <c r="U48" s="676"/>
      <c r="V48" s="676"/>
      <c r="W48" s="676"/>
      <c r="X48" s="676"/>
      <c r="Y48" s="676"/>
      <c r="Z48" s="676"/>
      <c r="AA48" s="676"/>
      <c r="AB48" s="676"/>
      <c r="AC48" s="676"/>
      <c r="AD48" s="677"/>
      <c r="AG48" s="658" t="e">
        <f>+VLOOKUP(Y13,Vejledning!A:AP,36,1)</f>
        <v>#N/A</v>
      </c>
      <c r="AH48" s="658"/>
      <c r="AI48" s="669" t="e">
        <f>+VLOOKUP(Y13,Vejledning!A:AP,37,1)</f>
        <v>#N/A</v>
      </c>
      <c r="AJ48" s="669"/>
      <c r="AK48" s="367"/>
      <c r="AL48" s="367"/>
    </row>
    <row r="49" spans="1:16384" ht="12.75" customHeight="1" x14ac:dyDescent="0.25">
      <c r="A49" s="619"/>
      <c r="B49" s="310"/>
      <c r="C49" s="306" t="s">
        <v>401</v>
      </c>
      <c r="D49" s="310"/>
      <c r="E49" s="310"/>
      <c r="F49" s="310"/>
      <c r="G49" s="310"/>
      <c r="H49" s="310"/>
      <c r="I49" s="419"/>
      <c r="J49" s="323"/>
      <c r="K49" s="419"/>
      <c r="L49" s="312">
        <f>ROUND((VLOOKUP($J$17+J22+J25+J26+J27+J28+J39+J40+J41+J46+J47+J48+J49,TabelLøn,StartkolonneNyLøn,1)-VLOOKUP($J$17+J22+J25+J26+J27+J28+J39+J40+J41+J46+J47+J48,TabelLøn,StartkolonneNyLøn,1))*BeskGradNyLøn,2)</f>
        <v>0</v>
      </c>
      <c r="M49" s="313">
        <f t="shared" si="8"/>
        <v>0</v>
      </c>
      <c r="N49" s="322"/>
      <c r="O49" s="322"/>
      <c r="P49" s="322"/>
      <c r="Q49" s="322"/>
      <c r="S49" s="675"/>
      <c r="T49" s="676"/>
      <c r="U49" s="676"/>
      <c r="V49" s="676"/>
      <c r="W49" s="676"/>
      <c r="X49" s="676"/>
      <c r="Y49" s="676"/>
      <c r="Z49" s="676"/>
      <c r="AA49" s="676"/>
      <c r="AB49" s="676"/>
      <c r="AC49" s="676"/>
      <c r="AD49" s="677"/>
      <c r="AE49" s="419"/>
      <c r="AF49" s="419"/>
      <c r="AG49" s="419"/>
      <c r="AH49" s="419"/>
      <c r="AI49" s="419"/>
      <c r="AJ49" s="419"/>
      <c r="AK49" s="367"/>
      <c r="AL49" s="367"/>
      <c r="BB49" s="419"/>
      <c r="BC49" s="419"/>
      <c r="BD49" s="419"/>
      <c r="BE49" s="419"/>
      <c r="BF49" s="419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19"/>
      <c r="EW49" s="419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19"/>
      <c r="FI49" s="419"/>
      <c r="FJ49" s="419"/>
      <c r="FK49" s="419"/>
      <c r="FL49" s="419"/>
      <c r="FM49" s="419"/>
      <c r="FN49" s="419"/>
      <c r="FO49" s="419"/>
      <c r="FP49" s="419"/>
      <c r="FQ49" s="419"/>
      <c r="FR49" s="419"/>
      <c r="FS49" s="419"/>
      <c r="FT49" s="419"/>
      <c r="FU49" s="419"/>
      <c r="FV49" s="419"/>
      <c r="FW49" s="419"/>
      <c r="FX49" s="419"/>
      <c r="FY49" s="419"/>
      <c r="FZ49" s="419"/>
      <c r="GA49" s="419"/>
      <c r="GB49" s="419"/>
      <c r="GC49" s="419"/>
      <c r="GD49" s="419"/>
      <c r="GE49" s="419"/>
      <c r="GF49" s="419"/>
      <c r="GG49" s="419"/>
      <c r="GH49" s="419"/>
      <c r="GI49" s="419"/>
      <c r="GJ49" s="419"/>
      <c r="GK49" s="419"/>
      <c r="GL49" s="419"/>
      <c r="GM49" s="419"/>
      <c r="GN49" s="419"/>
      <c r="GO49" s="419"/>
      <c r="GP49" s="419"/>
      <c r="GQ49" s="419"/>
      <c r="GR49" s="419"/>
      <c r="GS49" s="419"/>
      <c r="GT49" s="419"/>
      <c r="GU49" s="419"/>
      <c r="GV49" s="419"/>
      <c r="GW49" s="419"/>
      <c r="GX49" s="419"/>
      <c r="GY49" s="419"/>
      <c r="GZ49" s="419"/>
      <c r="HA49" s="419"/>
      <c r="HB49" s="419"/>
      <c r="HC49" s="419"/>
      <c r="HD49" s="419"/>
      <c r="HE49" s="419"/>
      <c r="HF49" s="419"/>
      <c r="HG49" s="419"/>
      <c r="HH49" s="419"/>
      <c r="HI49" s="419"/>
      <c r="HJ49" s="419"/>
      <c r="HK49" s="419"/>
      <c r="HL49" s="419"/>
      <c r="HM49" s="419"/>
      <c r="HN49" s="419"/>
      <c r="HO49" s="419"/>
      <c r="HP49" s="419"/>
      <c r="HQ49" s="419"/>
      <c r="HR49" s="419"/>
      <c r="HS49" s="419"/>
      <c r="HT49" s="419"/>
      <c r="HU49" s="419"/>
      <c r="HV49" s="419"/>
      <c r="HW49" s="419"/>
      <c r="HX49" s="419"/>
      <c r="HY49" s="419"/>
      <c r="HZ49" s="419"/>
      <c r="IA49" s="419"/>
      <c r="IB49" s="419"/>
      <c r="IC49" s="419"/>
      <c r="ID49" s="419"/>
      <c r="IE49" s="419"/>
      <c r="IF49" s="419"/>
      <c r="IG49" s="419"/>
      <c r="IH49" s="419"/>
      <c r="II49" s="419"/>
      <c r="IJ49" s="419"/>
      <c r="IK49" s="419"/>
      <c r="IL49" s="419"/>
      <c r="IM49" s="419"/>
      <c r="IN49" s="419"/>
      <c r="IO49" s="419"/>
      <c r="IP49" s="419"/>
      <c r="IQ49" s="419"/>
      <c r="IR49" s="419"/>
      <c r="IS49" s="419"/>
      <c r="IT49" s="419"/>
      <c r="IU49" s="419"/>
      <c r="IV49" s="419"/>
      <c r="IW49" s="419"/>
      <c r="IX49" s="419"/>
      <c r="IY49" s="419"/>
      <c r="IZ49" s="419"/>
      <c r="JA49" s="419"/>
      <c r="JB49" s="419"/>
      <c r="JC49" s="419"/>
      <c r="JD49" s="419"/>
      <c r="JE49" s="419"/>
      <c r="JF49" s="419"/>
      <c r="JG49" s="419"/>
      <c r="JH49" s="419"/>
      <c r="JI49" s="419"/>
      <c r="JJ49" s="419"/>
      <c r="JK49" s="419"/>
      <c r="JL49" s="419"/>
      <c r="JM49" s="419"/>
      <c r="JN49" s="419"/>
      <c r="JO49" s="419"/>
      <c r="JP49" s="419"/>
      <c r="JQ49" s="419"/>
      <c r="JR49" s="419"/>
      <c r="JS49" s="419"/>
      <c r="JT49" s="419"/>
      <c r="JU49" s="419"/>
      <c r="JV49" s="419"/>
      <c r="JW49" s="419"/>
      <c r="JX49" s="419"/>
      <c r="JY49" s="419"/>
      <c r="JZ49" s="419"/>
      <c r="KA49" s="419"/>
      <c r="KB49" s="419"/>
      <c r="KC49" s="419"/>
      <c r="KD49" s="419"/>
      <c r="KE49" s="419"/>
      <c r="KF49" s="419"/>
      <c r="KG49" s="419"/>
      <c r="KH49" s="419"/>
      <c r="KI49" s="419"/>
      <c r="KJ49" s="419"/>
      <c r="KK49" s="419"/>
      <c r="KL49" s="419"/>
      <c r="KM49" s="419"/>
      <c r="KN49" s="419"/>
      <c r="KO49" s="419"/>
      <c r="KP49" s="419"/>
      <c r="KQ49" s="419"/>
      <c r="KR49" s="419"/>
      <c r="KS49" s="419"/>
      <c r="KT49" s="419"/>
      <c r="KU49" s="419"/>
      <c r="KV49" s="419"/>
      <c r="KW49" s="419"/>
      <c r="KX49" s="419"/>
      <c r="KY49" s="419"/>
      <c r="KZ49" s="419"/>
      <c r="LA49" s="419"/>
      <c r="LB49" s="419"/>
      <c r="LC49" s="419"/>
      <c r="LD49" s="419"/>
      <c r="LE49" s="419"/>
      <c r="LF49" s="419"/>
      <c r="LG49" s="419"/>
      <c r="LH49" s="419"/>
      <c r="LI49" s="419"/>
      <c r="LJ49" s="419"/>
      <c r="LK49" s="419"/>
      <c r="LL49" s="419"/>
      <c r="LM49" s="419"/>
      <c r="LN49" s="419"/>
      <c r="LO49" s="419"/>
      <c r="LP49" s="419"/>
      <c r="LQ49" s="419"/>
      <c r="LR49" s="419"/>
      <c r="LS49" s="419"/>
      <c r="LT49" s="419"/>
      <c r="LU49" s="419"/>
      <c r="LV49" s="419"/>
      <c r="LW49" s="419"/>
      <c r="LX49" s="419"/>
      <c r="LY49" s="419"/>
      <c r="LZ49" s="419"/>
      <c r="MA49" s="419"/>
      <c r="MB49" s="419"/>
      <c r="MC49" s="419"/>
      <c r="MD49" s="419"/>
      <c r="ME49" s="419"/>
      <c r="MF49" s="419"/>
      <c r="MG49" s="419"/>
      <c r="MH49" s="419"/>
      <c r="MI49" s="419"/>
      <c r="MJ49" s="419"/>
      <c r="MK49" s="419"/>
      <c r="ML49" s="419"/>
      <c r="MM49" s="419"/>
      <c r="MN49" s="419"/>
      <c r="MO49" s="419"/>
      <c r="MP49" s="419"/>
      <c r="MQ49" s="419"/>
      <c r="MR49" s="419"/>
      <c r="MS49" s="419"/>
      <c r="MT49" s="419"/>
      <c r="MU49" s="419"/>
      <c r="MV49" s="419"/>
      <c r="MW49" s="419"/>
      <c r="MX49" s="419"/>
      <c r="MY49" s="419"/>
      <c r="MZ49" s="419"/>
      <c r="NA49" s="419"/>
      <c r="NB49" s="419"/>
      <c r="NC49" s="419"/>
      <c r="ND49" s="419"/>
      <c r="NE49" s="419"/>
      <c r="NF49" s="419"/>
      <c r="NG49" s="419"/>
      <c r="NH49" s="419"/>
      <c r="NI49" s="419"/>
      <c r="NJ49" s="419"/>
      <c r="NK49" s="419"/>
      <c r="NL49" s="419"/>
      <c r="NM49" s="419"/>
      <c r="NN49" s="419"/>
      <c r="NO49" s="419"/>
      <c r="NP49" s="419"/>
      <c r="NQ49" s="419"/>
      <c r="NR49" s="419"/>
      <c r="NS49" s="419"/>
      <c r="NT49" s="419"/>
      <c r="NU49" s="419"/>
      <c r="NV49" s="419"/>
      <c r="NW49" s="419"/>
      <c r="NX49" s="419"/>
      <c r="NY49" s="419"/>
      <c r="NZ49" s="419"/>
      <c r="OA49" s="419"/>
      <c r="OB49" s="419"/>
      <c r="OC49" s="419"/>
      <c r="OD49" s="419"/>
      <c r="OE49" s="419"/>
      <c r="OF49" s="419"/>
      <c r="OG49" s="419"/>
      <c r="OH49" s="419"/>
      <c r="OI49" s="419"/>
      <c r="OJ49" s="419"/>
      <c r="OK49" s="419"/>
      <c r="OL49" s="419"/>
      <c r="OM49" s="419"/>
      <c r="ON49" s="419"/>
      <c r="OO49" s="419"/>
      <c r="OP49" s="419"/>
      <c r="OQ49" s="419"/>
      <c r="OR49" s="419"/>
      <c r="OS49" s="419"/>
      <c r="OT49" s="419"/>
      <c r="OU49" s="419"/>
      <c r="OV49" s="419"/>
      <c r="OW49" s="419"/>
      <c r="OX49" s="419"/>
      <c r="OY49" s="419"/>
      <c r="OZ49" s="419"/>
      <c r="PA49" s="419"/>
      <c r="PB49" s="419"/>
      <c r="PC49" s="419"/>
      <c r="PD49" s="419"/>
      <c r="PE49" s="419"/>
      <c r="PF49" s="419"/>
      <c r="PG49" s="419"/>
      <c r="PH49" s="419"/>
      <c r="PI49" s="419"/>
      <c r="PJ49" s="419"/>
      <c r="PK49" s="419"/>
      <c r="PL49" s="419"/>
      <c r="PM49" s="419"/>
      <c r="PN49" s="419"/>
      <c r="PO49" s="419"/>
      <c r="PP49" s="419"/>
      <c r="PQ49" s="419"/>
      <c r="PR49" s="419"/>
      <c r="PS49" s="419"/>
      <c r="PT49" s="419"/>
      <c r="PU49" s="419"/>
      <c r="PV49" s="419"/>
      <c r="PW49" s="419"/>
      <c r="PX49" s="419"/>
      <c r="PY49" s="419"/>
      <c r="PZ49" s="419"/>
      <c r="QA49" s="419"/>
      <c r="QB49" s="419"/>
      <c r="QC49" s="419"/>
      <c r="QD49" s="419"/>
      <c r="QE49" s="419"/>
      <c r="QF49" s="419"/>
      <c r="QG49" s="419"/>
      <c r="QH49" s="419"/>
      <c r="QI49" s="419"/>
      <c r="QJ49" s="419"/>
      <c r="QK49" s="419"/>
      <c r="QL49" s="419"/>
      <c r="QM49" s="419"/>
      <c r="QN49" s="419"/>
      <c r="QO49" s="419"/>
      <c r="QP49" s="419"/>
      <c r="QQ49" s="419"/>
      <c r="QR49" s="419"/>
      <c r="QS49" s="419"/>
      <c r="QT49" s="419"/>
      <c r="QU49" s="419"/>
      <c r="QV49" s="419"/>
      <c r="QW49" s="419"/>
      <c r="QX49" s="419"/>
      <c r="QY49" s="419"/>
      <c r="QZ49" s="419"/>
      <c r="RA49" s="419"/>
      <c r="RB49" s="419"/>
      <c r="RC49" s="419"/>
      <c r="RD49" s="419"/>
      <c r="RE49" s="419"/>
      <c r="RF49" s="419"/>
      <c r="RG49" s="419"/>
      <c r="RH49" s="419"/>
      <c r="RI49" s="419"/>
      <c r="RJ49" s="419"/>
      <c r="RK49" s="419"/>
      <c r="RL49" s="419"/>
      <c r="RM49" s="419"/>
      <c r="RN49" s="419"/>
      <c r="RO49" s="419"/>
      <c r="RP49" s="419"/>
      <c r="RQ49" s="419"/>
      <c r="RR49" s="419"/>
      <c r="RS49" s="419"/>
      <c r="RT49" s="419"/>
      <c r="RU49" s="419"/>
      <c r="RV49" s="419"/>
      <c r="RW49" s="419"/>
      <c r="RX49" s="419"/>
      <c r="RY49" s="419"/>
      <c r="RZ49" s="419"/>
      <c r="SA49" s="419"/>
      <c r="SB49" s="419"/>
      <c r="SC49" s="419"/>
      <c r="SD49" s="419"/>
      <c r="SE49" s="419"/>
      <c r="SF49" s="419"/>
      <c r="SG49" s="419"/>
      <c r="SH49" s="419"/>
      <c r="SI49" s="419"/>
      <c r="SJ49" s="419"/>
      <c r="SK49" s="419"/>
      <c r="SL49" s="419"/>
      <c r="SM49" s="419"/>
      <c r="SN49" s="419"/>
      <c r="SO49" s="419"/>
      <c r="SP49" s="419"/>
      <c r="SQ49" s="419"/>
      <c r="SR49" s="419"/>
      <c r="SS49" s="419"/>
      <c r="ST49" s="419"/>
      <c r="SU49" s="419"/>
      <c r="SV49" s="419"/>
      <c r="SW49" s="419"/>
      <c r="SX49" s="419"/>
      <c r="SY49" s="419"/>
      <c r="SZ49" s="419"/>
      <c r="TA49" s="419"/>
      <c r="TB49" s="419"/>
      <c r="TC49" s="419"/>
      <c r="TD49" s="419"/>
      <c r="TE49" s="419"/>
      <c r="TF49" s="419"/>
      <c r="TG49" s="419"/>
      <c r="TH49" s="419"/>
      <c r="TI49" s="419"/>
      <c r="TJ49" s="419"/>
      <c r="TK49" s="419"/>
      <c r="TL49" s="419"/>
      <c r="TM49" s="419"/>
      <c r="TN49" s="419"/>
      <c r="TO49" s="419"/>
      <c r="TP49" s="419"/>
      <c r="TQ49" s="419"/>
      <c r="TR49" s="419"/>
      <c r="TS49" s="419"/>
      <c r="TT49" s="419"/>
      <c r="TU49" s="419"/>
      <c r="TV49" s="419"/>
      <c r="TW49" s="419"/>
      <c r="TX49" s="419"/>
      <c r="TY49" s="419"/>
      <c r="TZ49" s="419"/>
      <c r="UA49" s="419"/>
      <c r="UB49" s="419"/>
      <c r="UC49" s="419"/>
      <c r="UD49" s="419"/>
      <c r="UE49" s="419"/>
      <c r="UF49" s="419"/>
      <c r="UG49" s="419"/>
      <c r="UH49" s="419"/>
      <c r="UI49" s="419"/>
      <c r="UJ49" s="419"/>
      <c r="UK49" s="419"/>
      <c r="UL49" s="419"/>
      <c r="UM49" s="419"/>
      <c r="UN49" s="419"/>
      <c r="UO49" s="419"/>
      <c r="UP49" s="419"/>
      <c r="UQ49" s="419"/>
      <c r="UR49" s="419"/>
      <c r="US49" s="419"/>
      <c r="UT49" s="419"/>
      <c r="UU49" s="419"/>
      <c r="UV49" s="419"/>
      <c r="UW49" s="419"/>
      <c r="UX49" s="419"/>
      <c r="UY49" s="419"/>
      <c r="UZ49" s="419"/>
      <c r="VA49" s="419"/>
      <c r="VB49" s="419"/>
      <c r="VC49" s="419"/>
      <c r="VD49" s="419"/>
      <c r="VE49" s="419"/>
      <c r="VF49" s="419"/>
      <c r="VG49" s="419"/>
      <c r="VH49" s="419"/>
      <c r="VI49" s="419"/>
      <c r="VJ49" s="419"/>
      <c r="VK49" s="419"/>
      <c r="VL49" s="419"/>
      <c r="VM49" s="419"/>
      <c r="VN49" s="419"/>
      <c r="VO49" s="419"/>
      <c r="VP49" s="419"/>
      <c r="VQ49" s="419"/>
      <c r="VR49" s="419"/>
      <c r="VS49" s="419"/>
      <c r="VT49" s="419"/>
      <c r="VU49" s="419"/>
      <c r="VV49" s="419"/>
      <c r="VW49" s="419"/>
      <c r="VX49" s="419"/>
      <c r="VY49" s="419"/>
      <c r="VZ49" s="419"/>
      <c r="WA49" s="419"/>
      <c r="WB49" s="419"/>
      <c r="WC49" s="419"/>
      <c r="WD49" s="419"/>
      <c r="WE49" s="419"/>
      <c r="WF49" s="419"/>
      <c r="WG49" s="419"/>
      <c r="WH49" s="419"/>
      <c r="WI49" s="419"/>
      <c r="WJ49" s="419"/>
      <c r="WK49" s="419"/>
      <c r="WL49" s="419"/>
      <c r="WM49" s="419"/>
      <c r="WN49" s="419"/>
      <c r="WO49" s="419"/>
      <c r="WP49" s="419"/>
      <c r="WQ49" s="419"/>
      <c r="WR49" s="419"/>
      <c r="WS49" s="419"/>
      <c r="WT49" s="419"/>
      <c r="WU49" s="419"/>
      <c r="WV49" s="419"/>
      <c r="WW49" s="419"/>
      <c r="WX49" s="419"/>
      <c r="WY49" s="419"/>
      <c r="WZ49" s="419"/>
      <c r="XA49" s="419"/>
      <c r="XB49" s="419"/>
      <c r="XC49" s="419"/>
      <c r="XD49" s="419"/>
      <c r="XE49" s="419"/>
      <c r="XF49" s="419"/>
      <c r="XG49" s="419"/>
      <c r="XH49" s="419"/>
      <c r="XI49" s="419"/>
      <c r="XJ49" s="419"/>
      <c r="XK49" s="419"/>
      <c r="XL49" s="419"/>
      <c r="XM49" s="419"/>
      <c r="XN49" s="419"/>
      <c r="XO49" s="419"/>
      <c r="XP49" s="419"/>
      <c r="XQ49" s="419"/>
      <c r="XR49" s="419"/>
      <c r="XS49" s="419"/>
      <c r="XT49" s="419"/>
      <c r="XU49" s="419"/>
      <c r="XV49" s="419"/>
      <c r="XW49" s="419"/>
      <c r="XX49" s="419"/>
      <c r="XY49" s="419"/>
      <c r="XZ49" s="419"/>
      <c r="YA49" s="419"/>
      <c r="YB49" s="419"/>
      <c r="YC49" s="419"/>
      <c r="YD49" s="419"/>
      <c r="YE49" s="419"/>
      <c r="YF49" s="419"/>
      <c r="YG49" s="419"/>
      <c r="YH49" s="419"/>
      <c r="YI49" s="419"/>
      <c r="YJ49" s="419"/>
      <c r="YK49" s="419"/>
      <c r="YL49" s="419"/>
      <c r="YM49" s="419"/>
      <c r="YN49" s="419"/>
      <c r="YO49" s="419"/>
      <c r="YP49" s="419"/>
      <c r="YQ49" s="419"/>
      <c r="YR49" s="419"/>
      <c r="YS49" s="419"/>
      <c r="YT49" s="419"/>
      <c r="YU49" s="419"/>
      <c r="YV49" s="419"/>
      <c r="YW49" s="419"/>
      <c r="YX49" s="419"/>
      <c r="YY49" s="419"/>
      <c r="YZ49" s="419"/>
      <c r="ZA49" s="419"/>
      <c r="ZB49" s="419"/>
      <c r="ZC49" s="419"/>
      <c r="ZD49" s="419"/>
      <c r="ZE49" s="419"/>
      <c r="ZF49" s="419"/>
      <c r="ZG49" s="419"/>
      <c r="ZH49" s="419"/>
      <c r="ZI49" s="419"/>
      <c r="ZJ49" s="419"/>
      <c r="ZK49" s="419"/>
      <c r="ZL49" s="419"/>
      <c r="ZM49" s="419"/>
      <c r="ZN49" s="419"/>
      <c r="ZO49" s="419"/>
      <c r="ZP49" s="419"/>
      <c r="ZQ49" s="419"/>
      <c r="ZR49" s="419"/>
      <c r="ZS49" s="419"/>
      <c r="ZT49" s="419"/>
      <c r="ZU49" s="419"/>
      <c r="ZV49" s="419"/>
      <c r="ZW49" s="419"/>
      <c r="ZX49" s="419"/>
      <c r="ZY49" s="419"/>
      <c r="ZZ49" s="419"/>
      <c r="AAA49" s="419"/>
      <c r="AAB49" s="419"/>
      <c r="AAC49" s="419"/>
      <c r="AAD49" s="419"/>
      <c r="AAE49" s="419"/>
      <c r="AAF49" s="419"/>
      <c r="AAG49" s="419"/>
      <c r="AAH49" s="419"/>
      <c r="AAI49" s="419"/>
      <c r="AAJ49" s="419"/>
      <c r="AAK49" s="419"/>
      <c r="AAL49" s="419"/>
      <c r="AAM49" s="419"/>
      <c r="AAN49" s="419"/>
      <c r="AAO49" s="419"/>
      <c r="AAP49" s="419"/>
      <c r="AAQ49" s="419"/>
      <c r="AAR49" s="419"/>
      <c r="AAS49" s="419"/>
      <c r="AAT49" s="419"/>
      <c r="AAU49" s="419"/>
      <c r="AAV49" s="419"/>
      <c r="AAW49" s="419"/>
      <c r="AAX49" s="419"/>
      <c r="AAY49" s="419"/>
      <c r="AAZ49" s="419"/>
      <c r="ABA49" s="419"/>
      <c r="ABB49" s="419"/>
      <c r="ABC49" s="419"/>
      <c r="ABD49" s="419"/>
      <c r="ABE49" s="419"/>
      <c r="ABF49" s="419"/>
      <c r="ABG49" s="419"/>
      <c r="ABH49" s="419"/>
      <c r="ABI49" s="419"/>
      <c r="ABJ49" s="419"/>
      <c r="ABK49" s="419"/>
      <c r="ABL49" s="419"/>
      <c r="ABM49" s="419"/>
      <c r="ABN49" s="419"/>
      <c r="ABO49" s="419"/>
      <c r="ABP49" s="419"/>
      <c r="ABQ49" s="419"/>
      <c r="ABR49" s="419"/>
      <c r="ABS49" s="419"/>
      <c r="ABT49" s="419"/>
      <c r="ABU49" s="419"/>
      <c r="ABV49" s="419"/>
      <c r="ABW49" s="419"/>
      <c r="ABX49" s="419"/>
      <c r="ABY49" s="419"/>
      <c r="ABZ49" s="419"/>
      <c r="ACA49" s="419"/>
      <c r="ACB49" s="419"/>
      <c r="ACC49" s="419"/>
      <c r="ACD49" s="419"/>
      <c r="ACE49" s="419"/>
      <c r="ACF49" s="419"/>
      <c r="ACG49" s="419"/>
      <c r="ACH49" s="419"/>
      <c r="ACI49" s="419"/>
      <c r="ACJ49" s="419"/>
      <c r="ACK49" s="419"/>
      <c r="ACL49" s="419"/>
      <c r="ACM49" s="419"/>
      <c r="ACN49" s="419"/>
      <c r="ACO49" s="419"/>
      <c r="ACP49" s="419"/>
      <c r="ACQ49" s="419"/>
      <c r="ACR49" s="419"/>
      <c r="ACS49" s="419"/>
      <c r="ACT49" s="419"/>
      <c r="ACU49" s="419"/>
      <c r="ACV49" s="419"/>
      <c r="ACW49" s="419"/>
      <c r="ACX49" s="419"/>
      <c r="ACY49" s="419"/>
      <c r="ACZ49" s="419"/>
      <c r="ADA49" s="419"/>
      <c r="ADB49" s="419"/>
      <c r="ADC49" s="419"/>
      <c r="ADD49" s="419"/>
      <c r="ADE49" s="419"/>
      <c r="ADF49" s="419"/>
      <c r="ADG49" s="419"/>
      <c r="ADH49" s="419"/>
      <c r="ADI49" s="419"/>
      <c r="ADJ49" s="419"/>
      <c r="ADK49" s="419"/>
      <c r="ADL49" s="419"/>
      <c r="ADM49" s="419"/>
      <c r="ADN49" s="419"/>
      <c r="ADO49" s="419"/>
      <c r="ADP49" s="419"/>
      <c r="ADQ49" s="419"/>
      <c r="ADR49" s="419"/>
      <c r="ADS49" s="419"/>
      <c r="ADT49" s="419"/>
      <c r="ADU49" s="419"/>
      <c r="ADV49" s="419"/>
      <c r="ADW49" s="419"/>
      <c r="ADX49" s="419"/>
      <c r="ADY49" s="419"/>
      <c r="ADZ49" s="419"/>
      <c r="AEA49" s="419"/>
      <c r="AEB49" s="419"/>
      <c r="AEC49" s="419"/>
      <c r="AED49" s="419"/>
      <c r="AEE49" s="419"/>
      <c r="AEF49" s="419"/>
      <c r="AEG49" s="419"/>
      <c r="AEH49" s="419"/>
      <c r="AEI49" s="419"/>
      <c r="AEJ49" s="419"/>
      <c r="AEK49" s="419"/>
      <c r="AEL49" s="419"/>
      <c r="AEM49" s="419"/>
      <c r="AEN49" s="419"/>
      <c r="AEO49" s="419"/>
      <c r="AEP49" s="419"/>
      <c r="AEQ49" s="419"/>
      <c r="AER49" s="419"/>
      <c r="AES49" s="419"/>
      <c r="AET49" s="419"/>
      <c r="AEU49" s="419"/>
      <c r="AEV49" s="419"/>
      <c r="AEW49" s="419"/>
      <c r="AEX49" s="419"/>
      <c r="AEY49" s="419"/>
      <c r="AEZ49" s="419"/>
      <c r="AFA49" s="419"/>
      <c r="AFB49" s="419"/>
      <c r="AFC49" s="419"/>
      <c r="AFD49" s="419"/>
      <c r="AFE49" s="419"/>
      <c r="AFF49" s="419"/>
      <c r="AFG49" s="419"/>
      <c r="AFH49" s="419"/>
      <c r="AFI49" s="419"/>
      <c r="AFJ49" s="419"/>
      <c r="AFK49" s="419"/>
      <c r="AFL49" s="419"/>
      <c r="AFM49" s="419"/>
      <c r="AFN49" s="419"/>
      <c r="AFO49" s="419"/>
      <c r="AFP49" s="419"/>
      <c r="AFQ49" s="419"/>
      <c r="AFR49" s="419"/>
      <c r="AFS49" s="419"/>
      <c r="AFT49" s="419"/>
      <c r="AFU49" s="419"/>
      <c r="AFV49" s="419"/>
      <c r="AFW49" s="419"/>
      <c r="AFX49" s="419"/>
      <c r="AFY49" s="419"/>
      <c r="AFZ49" s="419"/>
      <c r="AGA49" s="419"/>
      <c r="AGB49" s="419"/>
      <c r="AGC49" s="419"/>
      <c r="AGD49" s="419"/>
      <c r="AGE49" s="419"/>
      <c r="AGF49" s="419"/>
      <c r="AGG49" s="419"/>
      <c r="AGH49" s="419"/>
      <c r="AGI49" s="419"/>
      <c r="AGJ49" s="419"/>
      <c r="AGK49" s="419"/>
      <c r="AGL49" s="419"/>
      <c r="AGM49" s="419"/>
      <c r="AGN49" s="419"/>
      <c r="AGO49" s="419"/>
      <c r="AGP49" s="419"/>
      <c r="AGQ49" s="419"/>
      <c r="AGR49" s="419"/>
      <c r="AGS49" s="419"/>
      <c r="AGT49" s="419"/>
      <c r="AGU49" s="419"/>
      <c r="AGV49" s="419"/>
      <c r="AGW49" s="419"/>
      <c r="AGX49" s="419"/>
      <c r="AGY49" s="419"/>
      <c r="AGZ49" s="419"/>
      <c r="AHA49" s="419"/>
      <c r="AHB49" s="419"/>
      <c r="AHC49" s="419"/>
      <c r="AHD49" s="419"/>
      <c r="AHE49" s="419"/>
      <c r="AHF49" s="419"/>
      <c r="AHG49" s="419"/>
      <c r="AHH49" s="419"/>
      <c r="AHI49" s="419"/>
      <c r="AHJ49" s="419"/>
      <c r="AHK49" s="419"/>
      <c r="AHL49" s="419"/>
      <c r="AHM49" s="419"/>
      <c r="AHN49" s="419"/>
      <c r="AHO49" s="419"/>
      <c r="AHP49" s="419"/>
      <c r="AHQ49" s="419"/>
      <c r="AHR49" s="419"/>
      <c r="AHS49" s="419"/>
      <c r="AHT49" s="419"/>
      <c r="AHU49" s="419"/>
      <c r="AHV49" s="419"/>
      <c r="AHW49" s="419"/>
      <c r="AHX49" s="419"/>
      <c r="AHY49" s="419"/>
      <c r="AHZ49" s="419"/>
      <c r="AIA49" s="419"/>
      <c r="AIB49" s="419"/>
      <c r="AIC49" s="419"/>
      <c r="AID49" s="419"/>
      <c r="AIE49" s="419"/>
      <c r="AIF49" s="419"/>
      <c r="AIG49" s="419"/>
      <c r="AIH49" s="419"/>
      <c r="AII49" s="419"/>
      <c r="AIJ49" s="419"/>
      <c r="AIK49" s="419"/>
      <c r="AIL49" s="419"/>
      <c r="AIM49" s="419"/>
      <c r="AIN49" s="419"/>
      <c r="AIO49" s="419"/>
      <c r="AIP49" s="419"/>
      <c r="AIQ49" s="419"/>
      <c r="AIR49" s="419"/>
      <c r="AIS49" s="419"/>
      <c r="AIT49" s="419"/>
      <c r="AIU49" s="419"/>
      <c r="AIV49" s="419"/>
      <c r="AIW49" s="419"/>
      <c r="AIX49" s="419"/>
      <c r="AIY49" s="419"/>
      <c r="AIZ49" s="419"/>
      <c r="AJA49" s="419"/>
      <c r="AJB49" s="419"/>
      <c r="AJC49" s="419"/>
      <c r="AJD49" s="419"/>
      <c r="AJE49" s="419"/>
      <c r="AJF49" s="419"/>
      <c r="AJG49" s="419"/>
      <c r="AJH49" s="419"/>
      <c r="AJI49" s="419"/>
      <c r="AJJ49" s="419"/>
      <c r="AJK49" s="419"/>
      <c r="AJL49" s="419"/>
      <c r="AJM49" s="419"/>
      <c r="AJN49" s="419"/>
      <c r="AJO49" s="419"/>
      <c r="AJP49" s="419"/>
      <c r="AJQ49" s="419"/>
      <c r="AJR49" s="419"/>
      <c r="AJS49" s="419"/>
      <c r="AJT49" s="419"/>
      <c r="AJU49" s="419"/>
      <c r="AJV49" s="419"/>
      <c r="AJW49" s="419"/>
      <c r="AJX49" s="419"/>
      <c r="AJY49" s="419"/>
      <c r="AJZ49" s="419"/>
      <c r="AKA49" s="419"/>
      <c r="AKB49" s="419"/>
      <c r="AKC49" s="419"/>
      <c r="AKD49" s="419"/>
      <c r="AKE49" s="419"/>
      <c r="AKF49" s="419"/>
      <c r="AKG49" s="419"/>
      <c r="AKH49" s="419"/>
      <c r="AKI49" s="419"/>
      <c r="AKJ49" s="419"/>
      <c r="AKK49" s="419"/>
      <c r="AKL49" s="419"/>
      <c r="AKM49" s="419"/>
      <c r="AKN49" s="419"/>
      <c r="AKO49" s="419"/>
      <c r="AKP49" s="419"/>
      <c r="AKQ49" s="419"/>
      <c r="AKR49" s="419"/>
      <c r="AKS49" s="419"/>
      <c r="AKT49" s="419"/>
      <c r="AKU49" s="419"/>
      <c r="AKV49" s="419"/>
      <c r="AKW49" s="419"/>
      <c r="AKX49" s="419"/>
      <c r="AKY49" s="419"/>
      <c r="AKZ49" s="419"/>
      <c r="ALA49" s="419"/>
      <c r="ALB49" s="419"/>
      <c r="ALC49" s="419"/>
      <c r="ALD49" s="419"/>
      <c r="ALE49" s="419"/>
      <c r="ALF49" s="419"/>
      <c r="ALG49" s="419"/>
      <c r="ALH49" s="419"/>
      <c r="ALI49" s="419"/>
      <c r="ALJ49" s="419"/>
      <c r="ALK49" s="419"/>
      <c r="ALL49" s="419"/>
      <c r="ALM49" s="419"/>
      <c r="ALN49" s="419"/>
      <c r="ALO49" s="419"/>
      <c r="ALP49" s="419"/>
      <c r="ALQ49" s="419"/>
      <c r="ALR49" s="419"/>
      <c r="ALS49" s="419"/>
      <c r="ALT49" s="419"/>
      <c r="ALU49" s="419"/>
      <c r="ALV49" s="419"/>
      <c r="ALW49" s="419"/>
      <c r="ALX49" s="419"/>
      <c r="ALY49" s="419"/>
      <c r="ALZ49" s="419"/>
      <c r="AMA49" s="419"/>
      <c r="AMB49" s="419"/>
      <c r="AMC49" s="419"/>
      <c r="AMD49" s="419"/>
      <c r="AME49" s="419"/>
      <c r="AMF49" s="419"/>
      <c r="AMG49" s="419"/>
      <c r="AMH49" s="419"/>
      <c r="AMI49" s="419"/>
      <c r="AMJ49" s="419"/>
      <c r="AMK49" s="419"/>
      <c r="AML49" s="419"/>
      <c r="AMM49" s="419"/>
      <c r="AMN49" s="419"/>
      <c r="AMO49" s="419"/>
      <c r="AMP49" s="419"/>
      <c r="AMQ49" s="419"/>
      <c r="AMR49" s="419"/>
      <c r="AMS49" s="419"/>
      <c r="AMT49" s="419"/>
      <c r="AMU49" s="419"/>
      <c r="AMV49" s="419"/>
      <c r="AMW49" s="419"/>
      <c r="AMX49" s="419"/>
      <c r="AMY49" s="419"/>
      <c r="AMZ49" s="419"/>
      <c r="ANA49" s="419"/>
      <c r="ANB49" s="419"/>
      <c r="ANC49" s="419"/>
      <c r="AND49" s="419"/>
      <c r="ANE49" s="419"/>
      <c r="ANF49" s="419"/>
      <c r="ANG49" s="419"/>
      <c r="ANH49" s="419"/>
      <c r="ANI49" s="419"/>
      <c r="ANJ49" s="419"/>
      <c r="ANK49" s="419"/>
      <c r="ANL49" s="419"/>
      <c r="ANM49" s="419"/>
      <c r="ANN49" s="419"/>
      <c r="ANO49" s="419"/>
      <c r="ANP49" s="419"/>
      <c r="ANQ49" s="419"/>
      <c r="ANR49" s="419"/>
      <c r="ANS49" s="419"/>
      <c r="ANT49" s="419"/>
      <c r="ANU49" s="419"/>
      <c r="ANV49" s="419"/>
      <c r="ANW49" s="419"/>
      <c r="ANX49" s="419"/>
      <c r="ANY49" s="419"/>
      <c r="ANZ49" s="419"/>
      <c r="AOA49" s="419"/>
      <c r="AOB49" s="419"/>
      <c r="AOC49" s="419"/>
      <c r="AOD49" s="419"/>
      <c r="AOE49" s="419"/>
      <c r="AOF49" s="419"/>
      <c r="AOG49" s="419"/>
      <c r="AOH49" s="419"/>
      <c r="AOI49" s="419"/>
      <c r="AOJ49" s="419"/>
      <c r="AOK49" s="419"/>
      <c r="AOL49" s="419"/>
      <c r="AOM49" s="419"/>
      <c r="AON49" s="419"/>
      <c r="AOO49" s="419"/>
      <c r="AOP49" s="419"/>
      <c r="AOQ49" s="419"/>
      <c r="AOR49" s="419"/>
      <c r="AOS49" s="419"/>
      <c r="AOT49" s="419"/>
      <c r="AOU49" s="419"/>
      <c r="AOV49" s="419"/>
      <c r="AOW49" s="419"/>
      <c r="AOX49" s="419"/>
      <c r="AOY49" s="419"/>
      <c r="AOZ49" s="419"/>
      <c r="APA49" s="419"/>
      <c r="APB49" s="419"/>
      <c r="APC49" s="419"/>
      <c r="APD49" s="419"/>
      <c r="APE49" s="419"/>
      <c r="APF49" s="419"/>
      <c r="APG49" s="419"/>
      <c r="APH49" s="419"/>
      <c r="API49" s="419"/>
      <c r="APJ49" s="419"/>
      <c r="APK49" s="419"/>
      <c r="APL49" s="419"/>
      <c r="APM49" s="419"/>
      <c r="APN49" s="419"/>
      <c r="APO49" s="419"/>
      <c r="APP49" s="419"/>
      <c r="APQ49" s="419"/>
      <c r="APR49" s="419"/>
      <c r="APS49" s="419"/>
      <c r="APT49" s="419"/>
      <c r="APU49" s="419"/>
      <c r="APV49" s="419"/>
      <c r="APW49" s="419"/>
      <c r="APX49" s="419"/>
      <c r="APY49" s="419"/>
      <c r="APZ49" s="419"/>
      <c r="AQA49" s="419"/>
      <c r="AQB49" s="419"/>
      <c r="AQC49" s="419"/>
      <c r="AQD49" s="419"/>
      <c r="AQE49" s="419"/>
      <c r="AQF49" s="419"/>
      <c r="AQG49" s="419"/>
      <c r="AQH49" s="419"/>
      <c r="AQI49" s="419"/>
      <c r="AQJ49" s="419"/>
      <c r="AQK49" s="419"/>
      <c r="AQL49" s="419"/>
      <c r="AQM49" s="419"/>
      <c r="AQN49" s="419"/>
      <c r="AQO49" s="419"/>
      <c r="AQP49" s="419"/>
      <c r="AQQ49" s="419"/>
      <c r="AQR49" s="419"/>
      <c r="AQS49" s="419"/>
      <c r="AQT49" s="419"/>
      <c r="AQU49" s="419"/>
      <c r="AQV49" s="419"/>
      <c r="AQW49" s="419"/>
      <c r="AQX49" s="419"/>
      <c r="AQY49" s="419"/>
      <c r="AQZ49" s="419"/>
      <c r="ARA49" s="419"/>
      <c r="ARB49" s="419"/>
      <c r="ARC49" s="419"/>
      <c r="ARD49" s="419"/>
      <c r="ARE49" s="419"/>
      <c r="ARF49" s="419"/>
      <c r="ARG49" s="419"/>
      <c r="ARH49" s="419"/>
      <c r="ARI49" s="419"/>
      <c r="ARJ49" s="419"/>
      <c r="ARK49" s="419"/>
      <c r="ARL49" s="419"/>
      <c r="ARM49" s="419"/>
      <c r="ARN49" s="419"/>
      <c r="ARO49" s="419"/>
      <c r="ARP49" s="419"/>
      <c r="ARQ49" s="419"/>
      <c r="ARR49" s="419"/>
      <c r="ARS49" s="419"/>
      <c r="ART49" s="419"/>
      <c r="ARU49" s="419"/>
      <c r="ARV49" s="419"/>
      <c r="ARW49" s="419"/>
      <c r="ARX49" s="419"/>
      <c r="ARY49" s="419"/>
      <c r="ARZ49" s="419"/>
      <c r="ASA49" s="419"/>
      <c r="ASB49" s="419"/>
      <c r="ASC49" s="419"/>
      <c r="ASD49" s="419"/>
      <c r="ASE49" s="419"/>
      <c r="ASF49" s="419"/>
      <c r="ASG49" s="419"/>
      <c r="ASH49" s="419"/>
      <c r="ASI49" s="419"/>
      <c r="ASJ49" s="419"/>
      <c r="ASK49" s="419"/>
      <c r="ASL49" s="419"/>
      <c r="ASM49" s="419"/>
      <c r="ASN49" s="419"/>
      <c r="ASO49" s="419"/>
      <c r="ASP49" s="419"/>
      <c r="ASQ49" s="419"/>
      <c r="ASR49" s="419"/>
      <c r="ASS49" s="419"/>
      <c r="AST49" s="419"/>
      <c r="ASU49" s="419"/>
      <c r="ASV49" s="419"/>
      <c r="ASW49" s="419"/>
      <c r="ASX49" s="419"/>
      <c r="ASY49" s="419"/>
      <c r="ASZ49" s="419"/>
      <c r="ATA49" s="419"/>
      <c r="ATB49" s="419"/>
      <c r="ATC49" s="419"/>
      <c r="ATD49" s="419"/>
      <c r="ATE49" s="419"/>
      <c r="ATF49" s="419"/>
      <c r="ATG49" s="419"/>
      <c r="ATH49" s="419"/>
      <c r="ATI49" s="419"/>
      <c r="ATJ49" s="419"/>
      <c r="ATK49" s="419"/>
      <c r="ATL49" s="419"/>
      <c r="ATM49" s="419"/>
      <c r="ATN49" s="419"/>
      <c r="ATO49" s="419"/>
      <c r="ATP49" s="419"/>
      <c r="ATQ49" s="419"/>
      <c r="ATR49" s="419"/>
      <c r="ATS49" s="419"/>
      <c r="ATT49" s="419"/>
      <c r="ATU49" s="419"/>
      <c r="ATV49" s="419"/>
      <c r="ATW49" s="419"/>
      <c r="ATX49" s="419"/>
      <c r="ATY49" s="419"/>
      <c r="ATZ49" s="419"/>
      <c r="AUA49" s="419"/>
      <c r="AUB49" s="419"/>
      <c r="AUC49" s="419"/>
      <c r="AUD49" s="419"/>
      <c r="AUE49" s="419"/>
      <c r="AUF49" s="419"/>
      <c r="AUG49" s="419"/>
      <c r="AUH49" s="419"/>
      <c r="AUI49" s="419"/>
      <c r="AUJ49" s="419"/>
      <c r="AUK49" s="419"/>
      <c r="AUL49" s="419"/>
      <c r="AUM49" s="419"/>
      <c r="AUN49" s="419"/>
      <c r="AUO49" s="419"/>
      <c r="AUP49" s="419"/>
      <c r="AUQ49" s="419"/>
      <c r="AUR49" s="419"/>
      <c r="AUS49" s="419"/>
      <c r="AUT49" s="419"/>
      <c r="AUU49" s="419"/>
      <c r="AUV49" s="419"/>
      <c r="AUW49" s="419"/>
      <c r="AUX49" s="419"/>
      <c r="AUY49" s="419"/>
      <c r="AUZ49" s="419"/>
      <c r="AVA49" s="419"/>
      <c r="AVB49" s="419"/>
      <c r="AVC49" s="419"/>
      <c r="AVD49" s="419"/>
      <c r="AVE49" s="419"/>
      <c r="AVF49" s="419"/>
      <c r="AVG49" s="419"/>
      <c r="AVH49" s="419"/>
      <c r="AVI49" s="419"/>
      <c r="AVJ49" s="419"/>
      <c r="AVK49" s="419"/>
      <c r="AVL49" s="419"/>
      <c r="AVM49" s="419"/>
      <c r="AVN49" s="419"/>
      <c r="AVO49" s="419"/>
      <c r="AVP49" s="419"/>
      <c r="AVQ49" s="419"/>
      <c r="AVR49" s="419"/>
      <c r="AVS49" s="419"/>
      <c r="AVT49" s="419"/>
      <c r="AVU49" s="419"/>
      <c r="AVV49" s="419"/>
      <c r="AVW49" s="419"/>
      <c r="AVX49" s="419"/>
      <c r="AVY49" s="419"/>
      <c r="AVZ49" s="419"/>
      <c r="AWA49" s="419"/>
      <c r="AWB49" s="419"/>
      <c r="AWC49" s="419"/>
      <c r="AWD49" s="419"/>
      <c r="AWE49" s="419"/>
      <c r="AWF49" s="419"/>
      <c r="AWG49" s="419"/>
      <c r="AWH49" s="419"/>
      <c r="AWI49" s="419"/>
      <c r="AWJ49" s="419"/>
      <c r="AWK49" s="419"/>
      <c r="AWL49" s="419"/>
      <c r="AWM49" s="419"/>
      <c r="AWN49" s="419"/>
      <c r="AWO49" s="419"/>
      <c r="AWP49" s="419"/>
      <c r="AWQ49" s="419"/>
      <c r="AWR49" s="419"/>
      <c r="AWS49" s="419"/>
      <c r="AWT49" s="419"/>
      <c r="AWU49" s="419"/>
      <c r="AWV49" s="419"/>
      <c r="AWW49" s="419"/>
      <c r="AWX49" s="419"/>
      <c r="AWY49" s="419"/>
      <c r="AWZ49" s="419"/>
      <c r="AXA49" s="419"/>
      <c r="AXB49" s="419"/>
      <c r="AXC49" s="419"/>
      <c r="AXD49" s="419"/>
      <c r="AXE49" s="419"/>
      <c r="AXF49" s="419"/>
      <c r="AXG49" s="419"/>
      <c r="AXH49" s="419"/>
      <c r="AXI49" s="419"/>
      <c r="AXJ49" s="419"/>
      <c r="AXK49" s="419"/>
      <c r="AXL49" s="419"/>
      <c r="AXM49" s="419"/>
      <c r="AXN49" s="419"/>
      <c r="AXO49" s="419"/>
      <c r="AXP49" s="419"/>
      <c r="AXQ49" s="419"/>
      <c r="AXR49" s="419"/>
      <c r="AXS49" s="419"/>
      <c r="AXT49" s="419"/>
      <c r="AXU49" s="419"/>
      <c r="AXV49" s="419"/>
      <c r="AXW49" s="419"/>
      <c r="AXX49" s="419"/>
      <c r="AXY49" s="419"/>
      <c r="AXZ49" s="419"/>
      <c r="AYA49" s="419"/>
      <c r="AYB49" s="419"/>
      <c r="AYC49" s="419"/>
      <c r="AYD49" s="419"/>
      <c r="AYE49" s="419"/>
      <c r="AYF49" s="419"/>
      <c r="AYG49" s="419"/>
      <c r="AYH49" s="419"/>
      <c r="AYI49" s="419"/>
      <c r="AYJ49" s="419"/>
      <c r="AYK49" s="419"/>
      <c r="AYL49" s="419"/>
      <c r="AYM49" s="419"/>
      <c r="AYN49" s="419"/>
      <c r="AYO49" s="419"/>
      <c r="AYP49" s="419"/>
      <c r="AYQ49" s="419"/>
      <c r="AYR49" s="419"/>
      <c r="AYS49" s="419"/>
      <c r="AYT49" s="419"/>
      <c r="AYU49" s="419"/>
      <c r="AYV49" s="419"/>
      <c r="AYW49" s="419"/>
      <c r="AYX49" s="419"/>
      <c r="AYY49" s="419"/>
      <c r="AYZ49" s="419"/>
      <c r="AZA49" s="419"/>
      <c r="AZB49" s="419"/>
      <c r="AZC49" s="419"/>
      <c r="AZD49" s="419"/>
      <c r="AZE49" s="419"/>
      <c r="AZF49" s="419"/>
      <c r="AZG49" s="419"/>
      <c r="AZH49" s="419"/>
      <c r="AZI49" s="419"/>
      <c r="AZJ49" s="419"/>
      <c r="AZK49" s="419"/>
      <c r="AZL49" s="419"/>
      <c r="AZM49" s="419"/>
      <c r="AZN49" s="419"/>
      <c r="AZO49" s="419"/>
      <c r="AZP49" s="419"/>
      <c r="AZQ49" s="419"/>
      <c r="AZR49" s="419"/>
      <c r="AZS49" s="419"/>
      <c r="AZT49" s="419"/>
      <c r="AZU49" s="419"/>
      <c r="AZV49" s="419"/>
      <c r="AZW49" s="419"/>
      <c r="AZX49" s="419"/>
      <c r="AZY49" s="419"/>
      <c r="AZZ49" s="419"/>
      <c r="BAA49" s="419"/>
      <c r="BAB49" s="419"/>
      <c r="BAC49" s="419"/>
      <c r="BAD49" s="419"/>
      <c r="BAE49" s="419"/>
      <c r="BAF49" s="419"/>
      <c r="BAG49" s="419"/>
      <c r="BAH49" s="419"/>
      <c r="BAI49" s="419"/>
      <c r="BAJ49" s="419"/>
      <c r="BAK49" s="419"/>
      <c r="BAL49" s="419"/>
      <c r="BAM49" s="419"/>
      <c r="BAN49" s="419"/>
      <c r="BAO49" s="419"/>
      <c r="BAP49" s="419"/>
      <c r="BAQ49" s="419"/>
      <c r="BAR49" s="419"/>
      <c r="BAS49" s="419"/>
      <c r="BAT49" s="419"/>
      <c r="BAU49" s="419"/>
      <c r="BAV49" s="419"/>
      <c r="BAW49" s="419"/>
      <c r="BAX49" s="419"/>
      <c r="BAY49" s="419"/>
      <c r="BAZ49" s="419"/>
      <c r="BBA49" s="419"/>
      <c r="BBB49" s="419"/>
      <c r="BBC49" s="419"/>
      <c r="BBD49" s="419"/>
      <c r="BBE49" s="419"/>
      <c r="BBF49" s="419"/>
      <c r="BBG49" s="419"/>
      <c r="BBH49" s="419"/>
      <c r="BBI49" s="419"/>
      <c r="BBJ49" s="419"/>
      <c r="BBK49" s="419"/>
      <c r="BBL49" s="419"/>
      <c r="BBM49" s="419"/>
      <c r="BBN49" s="419"/>
      <c r="BBO49" s="419"/>
      <c r="BBP49" s="419"/>
      <c r="BBQ49" s="419"/>
      <c r="BBR49" s="419"/>
      <c r="BBS49" s="419"/>
      <c r="BBT49" s="419"/>
      <c r="BBU49" s="419"/>
      <c r="BBV49" s="419"/>
      <c r="BBW49" s="419"/>
      <c r="BBX49" s="419"/>
      <c r="BBY49" s="419"/>
      <c r="BBZ49" s="419"/>
      <c r="BCA49" s="419"/>
      <c r="BCB49" s="419"/>
      <c r="BCC49" s="419"/>
      <c r="BCD49" s="419"/>
      <c r="BCE49" s="419"/>
      <c r="BCF49" s="419"/>
      <c r="BCG49" s="419"/>
      <c r="BCH49" s="419"/>
      <c r="BCI49" s="419"/>
      <c r="BCJ49" s="419"/>
      <c r="BCK49" s="419"/>
      <c r="BCL49" s="419"/>
      <c r="BCM49" s="419"/>
      <c r="BCN49" s="419"/>
      <c r="BCO49" s="419"/>
      <c r="BCP49" s="419"/>
      <c r="BCQ49" s="419"/>
      <c r="BCR49" s="419"/>
      <c r="BCS49" s="419"/>
      <c r="BCT49" s="419"/>
      <c r="BCU49" s="419"/>
      <c r="BCV49" s="419"/>
      <c r="BCW49" s="419"/>
      <c r="BCX49" s="419"/>
      <c r="BCY49" s="419"/>
      <c r="BCZ49" s="419"/>
      <c r="BDA49" s="419"/>
      <c r="BDB49" s="419"/>
      <c r="BDC49" s="419"/>
      <c r="BDD49" s="419"/>
      <c r="BDE49" s="419"/>
      <c r="BDF49" s="419"/>
      <c r="BDG49" s="419"/>
      <c r="BDH49" s="419"/>
      <c r="BDI49" s="419"/>
      <c r="BDJ49" s="419"/>
      <c r="BDK49" s="419"/>
      <c r="BDL49" s="419"/>
      <c r="BDM49" s="419"/>
      <c r="BDN49" s="419"/>
      <c r="BDO49" s="419"/>
      <c r="BDP49" s="419"/>
      <c r="BDQ49" s="419"/>
      <c r="BDR49" s="419"/>
      <c r="BDS49" s="419"/>
      <c r="BDT49" s="419"/>
      <c r="BDU49" s="419"/>
      <c r="BDV49" s="419"/>
      <c r="BDW49" s="419"/>
      <c r="BDX49" s="419"/>
      <c r="BDY49" s="419"/>
      <c r="BDZ49" s="419"/>
      <c r="BEA49" s="419"/>
      <c r="BEB49" s="419"/>
      <c r="BEC49" s="419"/>
      <c r="BED49" s="419"/>
      <c r="BEE49" s="419"/>
      <c r="BEF49" s="419"/>
      <c r="BEG49" s="419"/>
      <c r="BEH49" s="419"/>
      <c r="BEI49" s="419"/>
      <c r="BEJ49" s="419"/>
      <c r="BEK49" s="419"/>
      <c r="BEL49" s="419"/>
      <c r="BEM49" s="419"/>
      <c r="BEN49" s="419"/>
      <c r="BEO49" s="419"/>
      <c r="BEP49" s="419"/>
      <c r="BEQ49" s="419"/>
      <c r="BER49" s="419"/>
      <c r="BES49" s="419"/>
      <c r="BET49" s="419"/>
      <c r="BEU49" s="419"/>
      <c r="BEV49" s="419"/>
      <c r="BEW49" s="419"/>
      <c r="BEX49" s="419"/>
      <c r="BEY49" s="419"/>
      <c r="BEZ49" s="419"/>
      <c r="BFA49" s="419"/>
      <c r="BFB49" s="419"/>
      <c r="BFC49" s="419"/>
      <c r="BFD49" s="419"/>
      <c r="BFE49" s="419"/>
      <c r="BFF49" s="419"/>
      <c r="BFG49" s="419"/>
      <c r="BFH49" s="419"/>
      <c r="BFI49" s="419"/>
      <c r="BFJ49" s="419"/>
      <c r="BFK49" s="419"/>
      <c r="BFL49" s="419"/>
      <c r="BFM49" s="419"/>
      <c r="BFN49" s="419"/>
      <c r="BFO49" s="419"/>
      <c r="BFP49" s="419"/>
      <c r="BFQ49" s="419"/>
      <c r="BFR49" s="419"/>
      <c r="BFS49" s="419"/>
      <c r="BFT49" s="419"/>
      <c r="BFU49" s="419"/>
      <c r="BFV49" s="419"/>
      <c r="BFW49" s="419"/>
      <c r="BFX49" s="419"/>
      <c r="BFY49" s="419"/>
      <c r="BFZ49" s="419"/>
      <c r="BGA49" s="419"/>
      <c r="BGB49" s="419"/>
      <c r="BGC49" s="419"/>
      <c r="BGD49" s="419"/>
      <c r="BGE49" s="419"/>
      <c r="BGF49" s="419"/>
      <c r="BGG49" s="419"/>
      <c r="BGH49" s="419"/>
      <c r="BGI49" s="419"/>
      <c r="BGJ49" s="419"/>
      <c r="BGK49" s="419"/>
      <c r="BGL49" s="419"/>
      <c r="BGM49" s="419"/>
      <c r="BGN49" s="419"/>
      <c r="BGO49" s="419"/>
      <c r="BGP49" s="419"/>
      <c r="BGQ49" s="419"/>
      <c r="BGR49" s="419"/>
      <c r="BGS49" s="419"/>
      <c r="BGT49" s="419"/>
      <c r="BGU49" s="419"/>
      <c r="BGV49" s="419"/>
      <c r="BGW49" s="419"/>
      <c r="BGX49" s="419"/>
      <c r="BGY49" s="419"/>
      <c r="BGZ49" s="419"/>
      <c r="BHA49" s="419"/>
      <c r="BHB49" s="419"/>
      <c r="BHC49" s="419"/>
      <c r="BHD49" s="419"/>
      <c r="BHE49" s="419"/>
      <c r="BHF49" s="419"/>
      <c r="BHG49" s="419"/>
      <c r="BHH49" s="419"/>
      <c r="BHI49" s="419"/>
      <c r="BHJ49" s="419"/>
      <c r="BHK49" s="419"/>
      <c r="BHL49" s="419"/>
      <c r="BHM49" s="419"/>
      <c r="BHN49" s="419"/>
      <c r="BHO49" s="419"/>
      <c r="BHP49" s="419"/>
      <c r="BHQ49" s="419"/>
      <c r="BHR49" s="419"/>
      <c r="BHS49" s="419"/>
      <c r="BHT49" s="419"/>
      <c r="BHU49" s="419"/>
      <c r="BHV49" s="419"/>
      <c r="BHW49" s="419"/>
      <c r="BHX49" s="419"/>
      <c r="BHY49" s="419"/>
      <c r="BHZ49" s="419"/>
      <c r="BIA49" s="419"/>
      <c r="BIB49" s="419"/>
      <c r="BIC49" s="419"/>
      <c r="BID49" s="419"/>
      <c r="BIE49" s="419"/>
      <c r="BIF49" s="419"/>
      <c r="BIG49" s="419"/>
      <c r="BIH49" s="419"/>
      <c r="BII49" s="419"/>
      <c r="BIJ49" s="419"/>
      <c r="BIK49" s="419"/>
      <c r="BIL49" s="419"/>
      <c r="BIM49" s="419"/>
      <c r="BIN49" s="419"/>
      <c r="BIO49" s="419"/>
      <c r="BIP49" s="419"/>
      <c r="BIQ49" s="419"/>
      <c r="BIR49" s="419"/>
      <c r="BIS49" s="419"/>
      <c r="BIT49" s="419"/>
      <c r="BIU49" s="419"/>
      <c r="BIV49" s="419"/>
      <c r="BIW49" s="419"/>
      <c r="BIX49" s="419"/>
      <c r="BIY49" s="419"/>
      <c r="BIZ49" s="419"/>
      <c r="BJA49" s="419"/>
      <c r="BJB49" s="419"/>
      <c r="BJC49" s="419"/>
      <c r="BJD49" s="419"/>
      <c r="BJE49" s="419"/>
      <c r="BJF49" s="419"/>
      <c r="BJG49" s="419"/>
      <c r="BJH49" s="419"/>
      <c r="BJI49" s="419"/>
      <c r="BJJ49" s="419"/>
      <c r="BJK49" s="419"/>
      <c r="BJL49" s="419"/>
      <c r="BJM49" s="419"/>
      <c r="BJN49" s="419"/>
      <c r="BJO49" s="419"/>
      <c r="BJP49" s="419"/>
      <c r="BJQ49" s="419"/>
      <c r="BJR49" s="419"/>
      <c r="BJS49" s="419"/>
      <c r="BJT49" s="419"/>
      <c r="BJU49" s="419"/>
      <c r="BJV49" s="419"/>
      <c r="BJW49" s="419"/>
      <c r="BJX49" s="419"/>
      <c r="BJY49" s="419"/>
      <c r="BJZ49" s="419"/>
      <c r="BKA49" s="419"/>
      <c r="BKB49" s="419"/>
      <c r="BKC49" s="419"/>
      <c r="BKD49" s="419"/>
      <c r="BKE49" s="419"/>
      <c r="BKF49" s="419"/>
      <c r="BKG49" s="419"/>
      <c r="BKH49" s="419"/>
      <c r="BKI49" s="419"/>
      <c r="BKJ49" s="419"/>
      <c r="BKK49" s="419"/>
      <c r="BKL49" s="419"/>
      <c r="BKM49" s="419"/>
      <c r="BKN49" s="419"/>
      <c r="BKO49" s="419"/>
      <c r="BKP49" s="419"/>
      <c r="BKQ49" s="419"/>
      <c r="BKR49" s="419"/>
      <c r="BKS49" s="419"/>
      <c r="BKT49" s="419"/>
      <c r="BKU49" s="419"/>
      <c r="BKV49" s="419"/>
      <c r="BKW49" s="419"/>
      <c r="BKX49" s="419"/>
      <c r="BKY49" s="419"/>
      <c r="BKZ49" s="419"/>
      <c r="BLA49" s="419"/>
      <c r="BLB49" s="419"/>
      <c r="BLC49" s="419"/>
      <c r="BLD49" s="419"/>
      <c r="BLE49" s="419"/>
      <c r="BLF49" s="419"/>
      <c r="BLG49" s="419"/>
      <c r="BLH49" s="419"/>
      <c r="BLI49" s="419"/>
      <c r="BLJ49" s="419"/>
      <c r="BLK49" s="419"/>
      <c r="BLL49" s="419"/>
      <c r="BLM49" s="419"/>
      <c r="BLN49" s="419"/>
      <c r="BLO49" s="419"/>
      <c r="BLP49" s="419"/>
      <c r="BLQ49" s="419"/>
      <c r="BLR49" s="419"/>
      <c r="BLS49" s="419"/>
      <c r="BLT49" s="419"/>
      <c r="BLU49" s="419"/>
      <c r="BLV49" s="419"/>
      <c r="BLW49" s="419"/>
      <c r="BLX49" s="419"/>
      <c r="BLY49" s="419"/>
      <c r="BLZ49" s="419"/>
      <c r="BMA49" s="419"/>
      <c r="BMB49" s="419"/>
      <c r="BMC49" s="419"/>
      <c r="BMD49" s="419"/>
      <c r="BME49" s="419"/>
      <c r="BMF49" s="419"/>
      <c r="BMG49" s="419"/>
      <c r="BMH49" s="419"/>
      <c r="BMI49" s="419"/>
      <c r="BMJ49" s="419"/>
      <c r="BMK49" s="419"/>
      <c r="BML49" s="419"/>
      <c r="BMM49" s="419"/>
      <c r="BMN49" s="419"/>
      <c r="BMO49" s="419"/>
      <c r="BMP49" s="419"/>
      <c r="BMQ49" s="419"/>
      <c r="BMR49" s="419"/>
      <c r="BMS49" s="419"/>
      <c r="BMT49" s="419"/>
      <c r="BMU49" s="419"/>
      <c r="BMV49" s="419"/>
      <c r="BMW49" s="419"/>
      <c r="BMX49" s="419"/>
      <c r="BMY49" s="419"/>
      <c r="BMZ49" s="419"/>
      <c r="BNA49" s="419"/>
      <c r="BNB49" s="419"/>
      <c r="BNC49" s="419"/>
      <c r="BND49" s="419"/>
      <c r="BNE49" s="419"/>
      <c r="BNF49" s="419"/>
      <c r="BNG49" s="419"/>
      <c r="BNH49" s="419"/>
      <c r="BNI49" s="419"/>
      <c r="BNJ49" s="419"/>
      <c r="BNK49" s="419"/>
      <c r="BNL49" s="419"/>
      <c r="BNM49" s="419"/>
      <c r="BNN49" s="419"/>
      <c r="BNO49" s="419"/>
      <c r="BNP49" s="419"/>
      <c r="BNQ49" s="419"/>
      <c r="BNR49" s="419"/>
      <c r="BNS49" s="419"/>
      <c r="BNT49" s="419"/>
      <c r="BNU49" s="419"/>
      <c r="BNV49" s="419"/>
      <c r="BNW49" s="419"/>
      <c r="BNX49" s="419"/>
      <c r="BNY49" s="419"/>
      <c r="BNZ49" s="419"/>
      <c r="BOA49" s="419"/>
      <c r="BOB49" s="419"/>
      <c r="BOC49" s="419"/>
      <c r="BOD49" s="419"/>
      <c r="BOE49" s="419"/>
      <c r="BOF49" s="419"/>
      <c r="BOG49" s="419"/>
      <c r="BOH49" s="419"/>
      <c r="BOI49" s="419"/>
      <c r="BOJ49" s="419"/>
      <c r="BOK49" s="419"/>
      <c r="BOL49" s="419"/>
      <c r="BOM49" s="419"/>
      <c r="BON49" s="419"/>
      <c r="BOO49" s="419"/>
      <c r="BOP49" s="419"/>
      <c r="BOQ49" s="419"/>
      <c r="BOR49" s="419"/>
      <c r="BOS49" s="419"/>
      <c r="BOT49" s="419"/>
      <c r="BOU49" s="419"/>
      <c r="BOV49" s="419"/>
      <c r="BOW49" s="419"/>
      <c r="BOX49" s="419"/>
      <c r="BOY49" s="419"/>
      <c r="BOZ49" s="419"/>
      <c r="BPA49" s="419"/>
      <c r="BPB49" s="419"/>
      <c r="BPC49" s="419"/>
      <c r="BPD49" s="419"/>
      <c r="BPE49" s="419"/>
      <c r="BPF49" s="419"/>
      <c r="BPG49" s="419"/>
      <c r="BPH49" s="419"/>
      <c r="BPI49" s="419"/>
      <c r="BPJ49" s="419"/>
      <c r="BPK49" s="419"/>
      <c r="BPL49" s="419"/>
      <c r="BPM49" s="419"/>
      <c r="BPN49" s="419"/>
      <c r="BPO49" s="419"/>
      <c r="BPP49" s="419"/>
      <c r="BPQ49" s="419"/>
      <c r="BPR49" s="419"/>
      <c r="BPS49" s="419"/>
      <c r="BPT49" s="419"/>
      <c r="BPU49" s="419"/>
      <c r="BPV49" s="419"/>
      <c r="BPW49" s="419"/>
      <c r="BPX49" s="419"/>
      <c r="BPY49" s="419"/>
      <c r="BPZ49" s="419"/>
      <c r="BQA49" s="419"/>
      <c r="BQB49" s="419"/>
      <c r="BQC49" s="419"/>
      <c r="BQD49" s="419"/>
      <c r="BQE49" s="419"/>
      <c r="BQF49" s="419"/>
      <c r="BQG49" s="419"/>
      <c r="BQH49" s="419"/>
      <c r="BQI49" s="419"/>
      <c r="BQJ49" s="419"/>
      <c r="BQK49" s="419"/>
      <c r="BQL49" s="419"/>
      <c r="BQM49" s="419"/>
      <c r="BQN49" s="419"/>
      <c r="BQO49" s="419"/>
      <c r="BQP49" s="419"/>
      <c r="BQQ49" s="419"/>
      <c r="BQR49" s="419"/>
      <c r="BQS49" s="419"/>
      <c r="BQT49" s="419"/>
      <c r="BQU49" s="419"/>
      <c r="BQV49" s="419"/>
      <c r="BQW49" s="419"/>
      <c r="BQX49" s="419"/>
      <c r="BQY49" s="419"/>
      <c r="BQZ49" s="419"/>
      <c r="BRA49" s="419"/>
      <c r="BRB49" s="419"/>
      <c r="BRC49" s="419"/>
      <c r="BRD49" s="419"/>
      <c r="BRE49" s="419"/>
      <c r="BRF49" s="419"/>
      <c r="BRG49" s="419"/>
      <c r="BRH49" s="419"/>
      <c r="BRI49" s="419"/>
      <c r="BRJ49" s="419"/>
      <c r="BRK49" s="419"/>
      <c r="BRL49" s="419"/>
      <c r="BRM49" s="419"/>
      <c r="BRN49" s="419"/>
      <c r="BRO49" s="419"/>
      <c r="BRP49" s="419"/>
      <c r="BRQ49" s="419"/>
      <c r="BRR49" s="419"/>
      <c r="BRS49" s="419"/>
      <c r="BRT49" s="419"/>
      <c r="BRU49" s="419"/>
      <c r="BRV49" s="419"/>
      <c r="BRW49" s="419"/>
      <c r="BRX49" s="419"/>
      <c r="BRY49" s="419"/>
      <c r="BRZ49" s="419"/>
      <c r="BSA49" s="419"/>
      <c r="BSB49" s="419"/>
      <c r="BSC49" s="419"/>
      <c r="BSD49" s="419"/>
      <c r="BSE49" s="419"/>
      <c r="BSF49" s="419"/>
      <c r="BSG49" s="419"/>
      <c r="BSH49" s="419"/>
      <c r="BSI49" s="419"/>
      <c r="BSJ49" s="419"/>
      <c r="BSK49" s="419"/>
      <c r="BSL49" s="419"/>
      <c r="BSM49" s="419"/>
      <c r="BSN49" s="419"/>
      <c r="BSO49" s="419"/>
      <c r="BSP49" s="419"/>
      <c r="BSQ49" s="419"/>
      <c r="BSR49" s="419"/>
      <c r="BSS49" s="419"/>
      <c r="BST49" s="419"/>
      <c r="BSU49" s="419"/>
      <c r="BSV49" s="419"/>
      <c r="BSW49" s="419"/>
      <c r="BSX49" s="419"/>
      <c r="BSY49" s="419"/>
      <c r="BSZ49" s="419"/>
      <c r="BTA49" s="419"/>
      <c r="BTB49" s="419"/>
      <c r="BTC49" s="419"/>
      <c r="BTD49" s="419"/>
      <c r="BTE49" s="419"/>
      <c r="BTF49" s="419"/>
      <c r="BTG49" s="419"/>
      <c r="BTH49" s="419"/>
      <c r="BTI49" s="419"/>
      <c r="BTJ49" s="419"/>
      <c r="BTK49" s="419"/>
      <c r="BTL49" s="419"/>
      <c r="BTM49" s="419"/>
      <c r="BTN49" s="419"/>
      <c r="BTO49" s="419"/>
      <c r="BTP49" s="419"/>
      <c r="BTQ49" s="419"/>
      <c r="BTR49" s="419"/>
      <c r="BTS49" s="419"/>
      <c r="BTT49" s="419"/>
      <c r="BTU49" s="419"/>
      <c r="BTV49" s="419"/>
      <c r="BTW49" s="419"/>
      <c r="BTX49" s="419"/>
      <c r="BTY49" s="419"/>
      <c r="BTZ49" s="419"/>
      <c r="BUA49" s="419"/>
      <c r="BUB49" s="419"/>
      <c r="BUC49" s="419"/>
      <c r="BUD49" s="419"/>
      <c r="BUE49" s="419"/>
      <c r="BUF49" s="419"/>
      <c r="BUG49" s="419"/>
      <c r="BUH49" s="419"/>
      <c r="BUI49" s="419"/>
      <c r="BUJ49" s="419"/>
      <c r="BUK49" s="419"/>
      <c r="BUL49" s="419"/>
      <c r="BUM49" s="419"/>
      <c r="BUN49" s="419"/>
      <c r="BUO49" s="419"/>
      <c r="BUP49" s="419"/>
      <c r="BUQ49" s="419"/>
      <c r="BUR49" s="419"/>
      <c r="BUS49" s="419"/>
      <c r="BUT49" s="419"/>
      <c r="BUU49" s="419"/>
      <c r="BUV49" s="419"/>
      <c r="BUW49" s="419"/>
      <c r="BUX49" s="419"/>
      <c r="BUY49" s="419"/>
      <c r="BUZ49" s="419"/>
      <c r="BVA49" s="419"/>
      <c r="BVB49" s="419"/>
      <c r="BVC49" s="419"/>
      <c r="BVD49" s="419"/>
      <c r="BVE49" s="419"/>
      <c r="BVF49" s="419"/>
      <c r="BVG49" s="419"/>
      <c r="BVH49" s="419"/>
      <c r="BVI49" s="419"/>
      <c r="BVJ49" s="419"/>
      <c r="BVK49" s="419"/>
      <c r="BVL49" s="419"/>
      <c r="BVM49" s="419"/>
      <c r="BVN49" s="419"/>
      <c r="BVO49" s="419"/>
      <c r="BVP49" s="419"/>
      <c r="BVQ49" s="419"/>
      <c r="BVR49" s="419"/>
      <c r="BVS49" s="419"/>
      <c r="BVT49" s="419"/>
      <c r="BVU49" s="419"/>
      <c r="BVV49" s="419"/>
      <c r="BVW49" s="419"/>
      <c r="BVX49" s="419"/>
      <c r="BVY49" s="419"/>
      <c r="BVZ49" s="419"/>
      <c r="BWA49" s="419"/>
      <c r="BWB49" s="419"/>
      <c r="BWC49" s="419"/>
      <c r="BWD49" s="419"/>
      <c r="BWE49" s="419"/>
      <c r="BWF49" s="419"/>
      <c r="BWG49" s="419"/>
      <c r="BWH49" s="419"/>
      <c r="BWI49" s="419"/>
      <c r="BWJ49" s="419"/>
      <c r="BWK49" s="419"/>
      <c r="BWL49" s="419"/>
      <c r="BWM49" s="419"/>
      <c r="BWN49" s="419"/>
      <c r="BWO49" s="419"/>
      <c r="BWP49" s="419"/>
      <c r="BWQ49" s="419"/>
      <c r="BWR49" s="419"/>
      <c r="BWS49" s="419"/>
      <c r="BWT49" s="419"/>
      <c r="BWU49" s="419"/>
      <c r="BWV49" s="419"/>
      <c r="BWW49" s="419"/>
      <c r="BWX49" s="419"/>
      <c r="BWY49" s="419"/>
      <c r="BWZ49" s="419"/>
      <c r="BXA49" s="419"/>
      <c r="BXB49" s="419"/>
      <c r="BXC49" s="419"/>
      <c r="BXD49" s="419"/>
      <c r="BXE49" s="419"/>
      <c r="BXF49" s="419"/>
      <c r="BXG49" s="419"/>
      <c r="BXH49" s="419"/>
      <c r="BXI49" s="419"/>
      <c r="BXJ49" s="419"/>
      <c r="BXK49" s="419"/>
      <c r="BXL49" s="419"/>
      <c r="BXM49" s="419"/>
      <c r="BXN49" s="419"/>
      <c r="BXO49" s="419"/>
      <c r="BXP49" s="419"/>
      <c r="BXQ49" s="419"/>
      <c r="BXR49" s="419"/>
      <c r="BXS49" s="419"/>
      <c r="BXT49" s="419"/>
      <c r="BXU49" s="419"/>
      <c r="BXV49" s="419"/>
      <c r="BXW49" s="419"/>
      <c r="BXX49" s="419"/>
      <c r="BXY49" s="419"/>
      <c r="BXZ49" s="419"/>
      <c r="BYA49" s="419"/>
      <c r="BYB49" s="419"/>
      <c r="BYC49" s="419"/>
      <c r="BYD49" s="419"/>
      <c r="BYE49" s="419"/>
      <c r="BYF49" s="419"/>
      <c r="BYG49" s="419"/>
      <c r="BYH49" s="419"/>
      <c r="BYI49" s="419"/>
      <c r="BYJ49" s="419"/>
      <c r="BYK49" s="419"/>
      <c r="BYL49" s="419"/>
      <c r="BYM49" s="419"/>
      <c r="BYN49" s="419"/>
      <c r="BYO49" s="419"/>
      <c r="BYP49" s="419"/>
      <c r="BYQ49" s="419"/>
      <c r="BYR49" s="419"/>
      <c r="BYS49" s="419"/>
      <c r="BYT49" s="419"/>
      <c r="BYU49" s="419"/>
      <c r="BYV49" s="419"/>
      <c r="BYW49" s="419"/>
      <c r="BYX49" s="419"/>
      <c r="BYY49" s="419"/>
      <c r="BYZ49" s="419"/>
      <c r="BZA49" s="419"/>
      <c r="BZB49" s="419"/>
      <c r="BZC49" s="419"/>
      <c r="BZD49" s="419"/>
      <c r="BZE49" s="419"/>
      <c r="BZF49" s="419"/>
      <c r="BZG49" s="419"/>
      <c r="BZH49" s="419"/>
      <c r="BZI49" s="419"/>
      <c r="BZJ49" s="419"/>
      <c r="BZK49" s="419"/>
      <c r="BZL49" s="419"/>
      <c r="BZM49" s="419"/>
      <c r="BZN49" s="419"/>
      <c r="BZO49" s="419"/>
      <c r="BZP49" s="419"/>
      <c r="BZQ49" s="419"/>
      <c r="BZR49" s="419"/>
      <c r="BZS49" s="419"/>
      <c r="BZT49" s="419"/>
      <c r="BZU49" s="419"/>
      <c r="BZV49" s="419"/>
      <c r="BZW49" s="419"/>
      <c r="BZX49" s="419"/>
      <c r="BZY49" s="419"/>
      <c r="BZZ49" s="419"/>
      <c r="CAA49" s="419"/>
      <c r="CAB49" s="419"/>
      <c r="CAC49" s="419"/>
      <c r="CAD49" s="419"/>
      <c r="CAE49" s="419"/>
      <c r="CAF49" s="419"/>
      <c r="CAG49" s="419"/>
      <c r="CAH49" s="419"/>
      <c r="CAI49" s="419"/>
      <c r="CAJ49" s="419"/>
      <c r="CAK49" s="419"/>
      <c r="CAL49" s="419"/>
      <c r="CAM49" s="419"/>
      <c r="CAN49" s="419"/>
      <c r="CAO49" s="419"/>
      <c r="CAP49" s="419"/>
      <c r="CAQ49" s="419"/>
      <c r="CAR49" s="419"/>
      <c r="CAS49" s="419"/>
      <c r="CAT49" s="419"/>
      <c r="CAU49" s="419"/>
      <c r="CAV49" s="419"/>
      <c r="CAW49" s="419"/>
      <c r="CAX49" s="419"/>
      <c r="CAY49" s="419"/>
      <c r="CAZ49" s="419"/>
      <c r="CBA49" s="419"/>
      <c r="CBB49" s="419"/>
      <c r="CBC49" s="419"/>
      <c r="CBD49" s="419"/>
      <c r="CBE49" s="419"/>
      <c r="CBF49" s="419"/>
      <c r="CBG49" s="419"/>
      <c r="CBH49" s="419"/>
      <c r="CBI49" s="419"/>
      <c r="CBJ49" s="419"/>
      <c r="CBK49" s="419"/>
      <c r="CBL49" s="419"/>
      <c r="CBM49" s="419"/>
      <c r="CBN49" s="419"/>
      <c r="CBO49" s="419"/>
      <c r="CBP49" s="419"/>
      <c r="CBQ49" s="419"/>
      <c r="CBR49" s="419"/>
      <c r="CBS49" s="419"/>
      <c r="CBT49" s="419"/>
      <c r="CBU49" s="419"/>
      <c r="CBV49" s="419"/>
      <c r="CBW49" s="419"/>
      <c r="CBX49" s="419"/>
      <c r="CBY49" s="419"/>
      <c r="CBZ49" s="419"/>
      <c r="CCA49" s="419"/>
      <c r="CCB49" s="419"/>
      <c r="CCC49" s="419"/>
      <c r="CCD49" s="419"/>
      <c r="CCE49" s="419"/>
      <c r="CCF49" s="419"/>
      <c r="CCG49" s="419"/>
      <c r="CCH49" s="419"/>
      <c r="CCI49" s="419"/>
      <c r="CCJ49" s="419"/>
      <c r="CCK49" s="419"/>
      <c r="CCL49" s="419"/>
      <c r="CCM49" s="419"/>
      <c r="CCN49" s="419"/>
      <c r="CCO49" s="419"/>
      <c r="CCP49" s="419"/>
      <c r="CCQ49" s="419"/>
      <c r="CCR49" s="419"/>
      <c r="CCS49" s="419"/>
      <c r="CCT49" s="419"/>
      <c r="CCU49" s="419"/>
      <c r="CCV49" s="419"/>
      <c r="CCW49" s="419"/>
      <c r="CCX49" s="419"/>
      <c r="CCY49" s="419"/>
      <c r="CCZ49" s="419"/>
      <c r="CDA49" s="419"/>
      <c r="CDB49" s="419"/>
      <c r="CDC49" s="419"/>
      <c r="CDD49" s="419"/>
      <c r="CDE49" s="419"/>
      <c r="CDF49" s="419"/>
      <c r="CDG49" s="419"/>
      <c r="CDH49" s="419"/>
      <c r="CDI49" s="419"/>
      <c r="CDJ49" s="419"/>
      <c r="CDK49" s="419"/>
      <c r="CDL49" s="419"/>
      <c r="CDM49" s="419"/>
      <c r="CDN49" s="419"/>
      <c r="CDO49" s="419"/>
      <c r="CDP49" s="419"/>
      <c r="CDQ49" s="419"/>
      <c r="CDR49" s="419"/>
      <c r="CDS49" s="419"/>
      <c r="CDT49" s="419"/>
      <c r="CDU49" s="419"/>
      <c r="CDV49" s="419"/>
      <c r="CDW49" s="419"/>
      <c r="CDX49" s="419"/>
      <c r="CDY49" s="419"/>
      <c r="CDZ49" s="419"/>
      <c r="CEA49" s="419"/>
      <c r="CEB49" s="419"/>
      <c r="CEC49" s="419"/>
      <c r="CED49" s="419"/>
      <c r="CEE49" s="419"/>
      <c r="CEF49" s="419"/>
      <c r="CEG49" s="419"/>
      <c r="CEH49" s="419"/>
      <c r="CEI49" s="419"/>
      <c r="CEJ49" s="419"/>
      <c r="CEK49" s="419"/>
      <c r="CEL49" s="419"/>
      <c r="CEM49" s="419"/>
      <c r="CEN49" s="419"/>
      <c r="CEO49" s="419"/>
      <c r="CEP49" s="419"/>
      <c r="CEQ49" s="419"/>
      <c r="CER49" s="419"/>
      <c r="CES49" s="419"/>
      <c r="CET49" s="419"/>
      <c r="CEU49" s="419"/>
      <c r="CEV49" s="419"/>
      <c r="CEW49" s="419"/>
      <c r="CEX49" s="419"/>
      <c r="CEY49" s="419"/>
      <c r="CEZ49" s="419"/>
      <c r="CFA49" s="419"/>
      <c r="CFB49" s="419"/>
      <c r="CFC49" s="419"/>
      <c r="CFD49" s="419"/>
      <c r="CFE49" s="419"/>
      <c r="CFF49" s="419"/>
      <c r="CFG49" s="419"/>
      <c r="CFH49" s="419"/>
      <c r="CFI49" s="419"/>
      <c r="CFJ49" s="419"/>
      <c r="CFK49" s="419"/>
      <c r="CFL49" s="419"/>
      <c r="CFM49" s="419"/>
      <c r="CFN49" s="419"/>
      <c r="CFO49" s="419"/>
      <c r="CFP49" s="419"/>
      <c r="CFQ49" s="419"/>
      <c r="CFR49" s="419"/>
      <c r="CFS49" s="419"/>
      <c r="CFT49" s="419"/>
      <c r="CFU49" s="419"/>
      <c r="CFV49" s="419"/>
      <c r="CFW49" s="419"/>
      <c r="CFX49" s="419"/>
      <c r="CFY49" s="419"/>
      <c r="CFZ49" s="419"/>
      <c r="CGA49" s="419"/>
      <c r="CGB49" s="419"/>
      <c r="CGC49" s="419"/>
      <c r="CGD49" s="419"/>
      <c r="CGE49" s="419"/>
      <c r="CGF49" s="419"/>
      <c r="CGG49" s="419"/>
      <c r="CGH49" s="419"/>
      <c r="CGI49" s="419"/>
      <c r="CGJ49" s="419"/>
      <c r="CGK49" s="419"/>
      <c r="CGL49" s="419"/>
      <c r="CGM49" s="419"/>
      <c r="CGN49" s="419"/>
      <c r="CGO49" s="419"/>
      <c r="CGP49" s="419"/>
      <c r="CGQ49" s="419"/>
      <c r="CGR49" s="419"/>
      <c r="CGS49" s="419"/>
      <c r="CGT49" s="419"/>
      <c r="CGU49" s="419"/>
      <c r="CGV49" s="419"/>
      <c r="CGW49" s="419"/>
      <c r="CGX49" s="419"/>
      <c r="CGY49" s="419"/>
      <c r="CGZ49" s="419"/>
      <c r="CHA49" s="419"/>
      <c r="CHB49" s="419"/>
      <c r="CHC49" s="419"/>
      <c r="CHD49" s="419"/>
      <c r="CHE49" s="419"/>
      <c r="CHF49" s="419"/>
      <c r="CHG49" s="419"/>
      <c r="CHH49" s="419"/>
      <c r="CHI49" s="419"/>
      <c r="CHJ49" s="419"/>
      <c r="CHK49" s="419"/>
      <c r="CHL49" s="419"/>
      <c r="CHM49" s="419"/>
      <c r="CHN49" s="419"/>
      <c r="CHO49" s="419"/>
      <c r="CHP49" s="419"/>
      <c r="CHQ49" s="419"/>
      <c r="CHR49" s="419"/>
      <c r="CHS49" s="419"/>
      <c r="CHT49" s="419"/>
      <c r="CHU49" s="419"/>
      <c r="CHV49" s="419"/>
      <c r="CHW49" s="419"/>
      <c r="CHX49" s="419"/>
      <c r="CHY49" s="419"/>
      <c r="CHZ49" s="419"/>
      <c r="CIA49" s="419"/>
      <c r="CIB49" s="419"/>
      <c r="CIC49" s="419"/>
      <c r="CID49" s="419"/>
      <c r="CIE49" s="419"/>
      <c r="CIF49" s="419"/>
      <c r="CIG49" s="419"/>
      <c r="CIH49" s="419"/>
      <c r="CII49" s="419"/>
      <c r="CIJ49" s="419"/>
      <c r="CIK49" s="419"/>
      <c r="CIL49" s="419"/>
      <c r="CIM49" s="419"/>
      <c r="CIN49" s="419"/>
      <c r="CIO49" s="419"/>
      <c r="CIP49" s="419"/>
      <c r="CIQ49" s="419"/>
      <c r="CIR49" s="419"/>
      <c r="CIS49" s="419"/>
      <c r="CIT49" s="419"/>
      <c r="CIU49" s="419"/>
      <c r="CIV49" s="419"/>
      <c r="CIW49" s="419"/>
      <c r="CIX49" s="419"/>
      <c r="CIY49" s="419"/>
      <c r="CIZ49" s="419"/>
      <c r="CJA49" s="419"/>
      <c r="CJB49" s="419"/>
      <c r="CJC49" s="419"/>
      <c r="CJD49" s="419"/>
      <c r="CJE49" s="419"/>
      <c r="CJF49" s="419"/>
      <c r="CJG49" s="419"/>
      <c r="CJH49" s="419"/>
      <c r="CJI49" s="419"/>
      <c r="CJJ49" s="419"/>
      <c r="CJK49" s="419"/>
      <c r="CJL49" s="419"/>
      <c r="CJM49" s="419"/>
      <c r="CJN49" s="419"/>
      <c r="CJO49" s="419"/>
      <c r="CJP49" s="419"/>
      <c r="CJQ49" s="419"/>
      <c r="CJR49" s="419"/>
      <c r="CJS49" s="419"/>
      <c r="CJT49" s="419"/>
      <c r="CJU49" s="419"/>
      <c r="CJV49" s="419"/>
      <c r="CJW49" s="419"/>
      <c r="CJX49" s="419"/>
      <c r="CJY49" s="419"/>
      <c r="CJZ49" s="419"/>
      <c r="CKA49" s="419"/>
      <c r="CKB49" s="419"/>
      <c r="CKC49" s="419"/>
      <c r="CKD49" s="419"/>
      <c r="CKE49" s="419"/>
      <c r="CKF49" s="419"/>
      <c r="CKG49" s="419"/>
      <c r="CKH49" s="419"/>
      <c r="CKI49" s="419"/>
      <c r="CKJ49" s="419"/>
      <c r="CKK49" s="419"/>
      <c r="CKL49" s="419"/>
      <c r="CKM49" s="419"/>
      <c r="CKN49" s="419"/>
      <c r="CKO49" s="419"/>
      <c r="CKP49" s="419"/>
      <c r="CKQ49" s="419"/>
      <c r="CKR49" s="419"/>
      <c r="CKS49" s="419"/>
      <c r="CKT49" s="419"/>
      <c r="CKU49" s="419"/>
      <c r="CKV49" s="419"/>
      <c r="CKW49" s="419"/>
      <c r="CKX49" s="419"/>
      <c r="CKY49" s="419"/>
      <c r="CKZ49" s="419"/>
      <c r="CLA49" s="419"/>
      <c r="CLB49" s="419"/>
      <c r="CLC49" s="419"/>
      <c r="CLD49" s="419"/>
      <c r="CLE49" s="419"/>
      <c r="CLF49" s="419"/>
      <c r="CLG49" s="419"/>
      <c r="CLH49" s="419"/>
      <c r="CLI49" s="419"/>
      <c r="CLJ49" s="419"/>
      <c r="CLK49" s="419"/>
      <c r="CLL49" s="419"/>
      <c r="CLM49" s="419"/>
      <c r="CLN49" s="419"/>
      <c r="CLO49" s="419"/>
      <c r="CLP49" s="419"/>
      <c r="CLQ49" s="419"/>
      <c r="CLR49" s="419"/>
      <c r="CLS49" s="419"/>
      <c r="CLT49" s="419"/>
      <c r="CLU49" s="419"/>
      <c r="CLV49" s="419"/>
      <c r="CLW49" s="419"/>
      <c r="CLX49" s="419"/>
      <c r="CLY49" s="419"/>
      <c r="CLZ49" s="419"/>
      <c r="CMA49" s="419"/>
      <c r="CMB49" s="419"/>
      <c r="CMC49" s="419"/>
      <c r="CMD49" s="419"/>
      <c r="CME49" s="419"/>
      <c r="CMF49" s="419"/>
      <c r="CMG49" s="419"/>
      <c r="CMH49" s="419"/>
      <c r="CMI49" s="419"/>
      <c r="CMJ49" s="419"/>
      <c r="CMK49" s="419"/>
      <c r="CML49" s="419"/>
      <c r="CMM49" s="419"/>
      <c r="CMN49" s="419"/>
      <c r="CMO49" s="419"/>
      <c r="CMP49" s="419"/>
      <c r="CMQ49" s="419"/>
      <c r="CMR49" s="419"/>
      <c r="CMS49" s="419"/>
      <c r="CMT49" s="419"/>
      <c r="CMU49" s="419"/>
      <c r="CMV49" s="419"/>
      <c r="CMW49" s="419"/>
      <c r="CMX49" s="419"/>
      <c r="CMY49" s="419"/>
      <c r="CMZ49" s="419"/>
      <c r="CNA49" s="419"/>
      <c r="CNB49" s="419"/>
      <c r="CNC49" s="419"/>
      <c r="CND49" s="419"/>
      <c r="CNE49" s="419"/>
      <c r="CNF49" s="419"/>
      <c r="CNG49" s="419"/>
      <c r="CNH49" s="419"/>
      <c r="CNI49" s="419"/>
      <c r="CNJ49" s="419"/>
      <c r="CNK49" s="419"/>
      <c r="CNL49" s="419"/>
      <c r="CNM49" s="419"/>
      <c r="CNN49" s="419"/>
      <c r="CNO49" s="419"/>
      <c r="CNP49" s="419"/>
      <c r="CNQ49" s="419"/>
      <c r="CNR49" s="419"/>
      <c r="CNS49" s="419"/>
      <c r="CNT49" s="419"/>
      <c r="CNU49" s="419"/>
      <c r="CNV49" s="419"/>
      <c r="CNW49" s="419"/>
      <c r="CNX49" s="419"/>
      <c r="CNY49" s="419"/>
      <c r="CNZ49" s="419"/>
      <c r="COA49" s="419"/>
      <c r="COB49" s="419"/>
      <c r="COC49" s="419"/>
      <c r="COD49" s="419"/>
      <c r="COE49" s="419"/>
      <c r="COF49" s="419"/>
      <c r="COG49" s="419"/>
      <c r="COH49" s="419"/>
      <c r="COI49" s="419"/>
      <c r="COJ49" s="419"/>
      <c r="COK49" s="419"/>
      <c r="COL49" s="419"/>
      <c r="COM49" s="419"/>
      <c r="CON49" s="419"/>
      <c r="COO49" s="419"/>
      <c r="COP49" s="419"/>
      <c r="COQ49" s="419"/>
      <c r="COR49" s="419"/>
      <c r="COS49" s="419"/>
      <c r="COT49" s="419"/>
      <c r="COU49" s="419"/>
      <c r="COV49" s="419"/>
      <c r="COW49" s="419"/>
      <c r="COX49" s="419"/>
      <c r="COY49" s="419"/>
      <c r="COZ49" s="419"/>
      <c r="CPA49" s="419"/>
      <c r="CPB49" s="419"/>
      <c r="CPC49" s="419"/>
      <c r="CPD49" s="419"/>
      <c r="CPE49" s="419"/>
      <c r="CPF49" s="419"/>
      <c r="CPG49" s="419"/>
      <c r="CPH49" s="419"/>
      <c r="CPI49" s="419"/>
      <c r="CPJ49" s="419"/>
      <c r="CPK49" s="419"/>
      <c r="CPL49" s="419"/>
      <c r="CPM49" s="419"/>
      <c r="CPN49" s="419"/>
      <c r="CPO49" s="419"/>
      <c r="CPP49" s="419"/>
      <c r="CPQ49" s="419"/>
      <c r="CPR49" s="419"/>
      <c r="CPS49" s="419"/>
      <c r="CPT49" s="419"/>
      <c r="CPU49" s="419"/>
      <c r="CPV49" s="419"/>
      <c r="CPW49" s="419"/>
      <c r="CPX49" s="419"/>
      <c r="CPY49" s="419"/>
      <c r="CPZ49" s="419"/>
      <c r="CQA49" s="419"/>
      <c r="CQB49" s="419"/>
      <c r="CQC49" s="419"/>
      <c r="CQD49" s="419"/>
      <c r="CQE49" s="419"/>
      <c r="CQF49" s="419"/>
      <c r="CQG49" s="419"/>
      <c r="CQH49" s="419"/>
      <c r="CQI49" s="419"/>
      <c r="CQJ49" s="419"/>
      <c r="CQK49" s="419"/>
      <c r="CQL49" s="419"/>
      <c r="CQM49" s="419"/>
      <c r="CQN49" s="419"/>
      <c r="CQO49" s="419"/>
      <c r="CQP49" s="419"/>
      <c r="CQQ49" s="419"/>
      <c r="CQR49" s="419"/>
      <c r="CQS49" s="419"/>
      <c r="CQT49" s="419"/>
      <c r="CQU49" s="419"/>
      <c r="CQV49" s="419"/>
      <c r="CQW49" s="419"/>
      <c r="CQX49" s="419"/>
      <c r="CQY49" s="419"/>
      <c r="CQZ49" s="419"/>
      <c r="CRA49" s="419"/>
      <c r="CRB49" s="419"/>
      <c r="CRC49" s="419"/>
      <c r="CRD49" s="419"/>
      <c r="CRE49" s="419"/>
      <c r="CRF49" s="419"/>
      <c r="CRG49" s="419"/>
      <c r="CRH49" s="419"/>
      <c r="CRI49" s="419"/>
      <c r="CRJ49" s="419"/>
      <c r="CRK49" s="419"/>
      <c r="CRL49" s="419"/>
      <c r="CRM49" s="419"/>
      <c r="CRN49" s="419"/>
      <c r="CRO49" s="419"/>
      <c r="CRP49" s="419"/>
      <c r="CRQ49" s="419"/>
      <c r="CRR49" s="419"/>
      <c r="CRS49" s="419"/>
      <c r="CRT49" s="419"/>
      <c r="CRU49" s="419"/>
      <c r="CRV49" s="419"/>
      <c r="CRW49" s="419"/>
      <c r="CRX49" s="419"/>
      <c r="CRY49" s="419"/>
      <c r="CRZ49" s="419"/>
      <c r="CSA49" s="419"/>
      <c r="CSB49" s="419"/>
      <c r="CSC49" s="419"/>
      <c r="CSD49" s="419"/>
      <c r="CSE49" s="419"/>
      <c r="CSF49" s="419"/>
      <c r="CSG49" s="419"/>
      <c r="CSH49" s="419"/>
      <c r="CSI49" s="419"/>
      <c r="CSJ49" s="419"/>
      <c r="CSK49" s="419"/>
      <c r="CSL49" s="419"/>
      <c r="CSM49" s="419"/>
      <c r="CSN49" s="419"/>
      <c r="CSO49" s="419"/>
      <c r="CSP49" s="419"/>
      <c r="CSQ49" s="419"/>
      <c r="CSR49" s="419"/>
      <c r="CSS49" s="419"/>
      <c r="CST49" s="419"/>
      <c r="CSU49" s="419"/>
      <c r="CSV49" s="419"/>
      <c r="CSW49" s="419"/>
      <c r="CSX49" s="419"/>
      <c r="CSY49" s="419"/>
      <c r="CSZ49" s="419"/>
      <c r="CTA49" s="419"/>
      <c r="CTB49" s="419"/>
      <c r="CTC49" s="419"/>
      <c r="CTD49" s="419"/>
      <c r="CTE49" s="419"/>
      <c r="CTF49" s="419"/>
      <c r="CTG49" s="419"/>
      <c r="CTH49" s="419"/>
      <c r="CTI49" s="419"/>
      <c r="CTJ49" s="419"/>
      <c r="CTK49" s="419"/>
      <c r="CTL49" s="419"/>
      <c r="CTM49" s="419"/>
      <c r="CTN49" s="419"/>
      <c r="CTO49" s="419"/>
      <c r="CTP49" s="419"/>
      <c r="CTQ49" s="419"/>
      <c r="CTR49" s="419"/>
      <c r="CTS49" s="419"/>
      <c r="CTT49" s="419"/>
      <c r="CTU49" s="419"/>
      <c r="CTV49" s="419"/>
      <c r="CTW49" s="419"/>
      <c r="CTX49" s="419"/>
      <c r="CTY49" s="419"/>
      <c r="CTZ49" s="419"/>
      <c r="CUA49" s="419"/>
      <c r="CUB49" s="419"/>
      <c r="CUC49" s="419"/>
      <c r="CUD49" s="419"/>
      <c r="CUE49" s="419"/>
      <c r="CUF49" s="419"/>
      <c r="CUG49" s="419"/>
      <c r="CUH49" s="419"/>
      <c r="CUI49" s="419"/>
      <c r="CUJ49" s="419"/>
      <c r="CUK49" s="419"/>
      <c r="CUL49" s="419"/>
      <c r="CUM49" s="419"/>
      <c r="CUN49" s="419"/>
      <c r="CUO49" s="419"/>
      <c r="CUP49" s="419"/>
      <c r="CUQ49" s="419"/>
      <c r="CUR49" s="419"/>
      <c r="CUS49" s="419"/>
      <c r="CUT49" s="419"/>
      <c r="CUU49" s="419"/>
      <c r="CUV49" s="419"/>
      <c r="CUW49" s="419"/>
      <c r="CUX49" s="419"/>
      <c r="CUY49" s="419"/>
      <c r="CUZ49" s="419"/>
      <c r="CVA49" s="419"/>
      <c r="CVB49" s="419"/>
      <c r="CVC49" s="419"/>
      <c r="CVD49" s="419"/>
      <c r="CVE49" s="419"/>
      <c r="CVF49" s="419"/>
      <c r="CVG49" s="419"/>
      <c r="CVH49" s="419"/>
      <c r="CVI49" s="419"/>
      <c r="CVJ49" s="419"/>
      <c r="CVK49" s="419"/>
      <c r="CVL49" s="419"/>
      <c r="CVM49" s="419"/>
      <c r="CVN49" s="419"/>
      <c r="CVO49" s="419"/>
      <c r="CVP49" s="419"/>
      <c r="CVQ49" s="419"/>
      <c r="CVR49" s="419"/>
      <c r="CVS49" s="419"/>
      <c r="CVT49" s="419"/>
      <c r="CVU49" s="419"/>
      <c r="CVV49" s="419"/>
      <c r="CVW49" s="419"/>
      <c r="CVX49" s="419"/>
      <c r="CVY49" s="419"/>
      <c r="CVZ49" s="419"/>
      <c r="CWA49" s="419"/>
      <c r="CWB49" s="419"/>
      <c r="CWC49" s="419"/>
      <c r="CWD49" s="419"/>
      <c r="CWE49" s="419"/>
      <c r="CWF49" s="419"/>
      <c r="CWG49" s="419"/>
      <c r="CWH49" s="419"/>
      <c r="CWI49" s="419"/>
      <c r="CWJ49" s="419"/>
      <c r="CWK49" s="419"/>
      <c r="CWL49" s="419"/>
      <c r="CWM49" s="419"/>
      <c r="CWN49" s="419"/>
      <c r="CWO49" s="419"/>
      <c r="CWP49" s="419"/>
      <c r="CWQ49" s="419"/>
      <c r="CWR49" s="419"/>
      <c r="CWS49" s="419"/>
      <c r="CWT49" s="419"/>
      <c r="CWU49" s="419"/>
      <c r="CWV49" s="419"/>
      <c r="CWW49" s="419"/>
      <c r="CWX49" s="419"/>
      <c r="CWY49" s="419"/>
      <c r="CWZ49" s="419"/>
      <c r="CXA49" s="419"/>
      <c r="CXB49" s="419"/>
      <c r="CXC49" s="419"/>
      <c r="CXD49" s="419"/>
      <c r="CXE49" s="419"/>
      <c r="CXF49" s="419"/>
      <c r="CXG49" s="419"/>
      <c r="CXH49" s="419"/>
      <c r="CXI49" s="419"/>
      <c r="CXJ49" s="419"/>
      <c r="CXK49" s="419"/>
      <c r="CXL49" s="419"/>
      <c r="CXM49" s="419"/>
      <c r="CXN49" s="419"/>
      <c r="CXO49" s="419"/>
      <c r="CXP49" s="419"/>
      <c r="CXQ49" s="419"/>
      <c r="CXR49" s="419"/>
      <c r="CXS49" s="419"/>
      <c r="CXT49" s="419"/>
      <c r="CXU49" s="419"/>
      <c r="CXV49" s="419"/>
      <c r="CXW49" s="419"/>
      <c r="CXX49" s="419"/>
      <c r="CXY49" s="419"/>
      <c r="CXZ49" s="419"/>
      <c r="CYA49" s="419"/>
      <c r="CYB49" s="419"/>
      <c r="CYC49" s="419"/>
      <c r="CYD49" s="419"/>
      <c r="CYE49" s="419"/>
      <c r="CYF49" s="419"/>
      <c r="CYG49" s="419"/>
      <c r="CYH49" s="419"/>
      <c r="CYI49" s="419"/>
      <c r="CYJ49" s="419"/>
      <c r="CYK49" s="419"/>
      <c r="CYL49" s="419"/>
      <c r="CYM49" s="419"/>
      <c r="CYN49" s="419"/>
      <c r="CYO49" s="419"/>
      <c r="CYP49" s="419"/>
      <c r="CYQ49" s="419"/>
      <c r="CYR49" s="419"/>
      <c r="CYS49" s="419"/>
      <c r="CYT49" s="419"/>
      <c r="CYU49" s="419"/>
      <c r="CYV49" s="419"/>
      <c r="CYW49" s="419"/>
      <c r="CYX49" s="419"/>
      <c r="CYY49" s="419"/>
      <c r="CYZ49" s="419"/>
      <c r="CZA49" s="419"/>
      <c r="CZB49" s="419"/>
      <c r="CZC49" s="419"/>
      <c r="CZD49" s="419"/>
      <c r="CZE49" s="419"/>
      <c r="CZF49" s="419"/>
      <c r="CZG49" s="419"/>
      <c r="CZH49" s="419"/>
      <c r="CZI49" s="419"/>
      <c r="CZJ49" s="419"/>
      <c r="CZK49" s="419"/>
      <c r="CZL49" s="419"/>
      <c r="CZM49" s="419"/>
      <c r="CZN49" s="419"/>
      <c r="CZO49" s="419"/>
      <c r="CZP49" s="419"/>
      <c r="CZQ49" s="419"/>
      <c r="CZR49" s="419"/>
      <c r="CZS49" s="419"/>
      <c r="CZT49" s="419"/>
      <c r="CZU49" s="419"/>
      <c r="CZV49" s="419"/>
      <c r="CZW49" s="419"/>
      <c r="CZX49" s="419"/>
      <c r="CZY49" s="419"/>
      <c r="CZZ49" s="419"/>
      <c r="DAA49" s="419"/>
      <c r="DAB49" s="419"/>
      <c r="DAC49" s="419"/>
      <c r="DAD49" s="419"/>
      <c r="DAE49" s="419"/>
      <c r="DAF49" s="419"/>
      <c r="DAG49" s="419"/>
      <c r="DAH49" s="419"/>
      <c r="DAI49" s="419"/>
      <c r="DAJ49" s="419"/>
      <c r="DAK49" s="419"/>
      <c r="DAL49" s="419"/>
      <c r="DAM49" s="419"/>
      <c r="DAN49" s="419"/>
      <c r="DAO49" s="419"/>
      <c r="DAP49" s="419"/>
      <c r="DAQ49" s="419"/>
      <c r="DAR49" s="419"/>
      <c r="DAS49" s="419"/>
      <c r="DAT49" s="419"/>
      <c r="DAU49" s="419"/>
      <c r="DAV49" s="419"/>
      <c r="DAW49" s="419"/>
      <c r="DAX49" s="419"/>
      <c r="DAY49" s="419"/>
      <c r="DAZ49" s="419"/>
      <c r="DBA49" s="419"/>
      <c r="DBB49" s="419"/>
      <c r="DBC49" s="419"/>
      <c r="DBD49" s="419"/>
      <c r="DBE49" s="419"/>
      <c r="DBF49" s="419"/>
      <c r="DBG49" s="419"/>
      <c r="DBH49" s="419"/>
      <c r="DBI49" s="419"/>
      <c r="DBJ49" s="419"/>
      <c r="DBK49" s="419"/>
      <c r="DBL49" s="419"/>
      <c r="DBM49" s="419"/>
      <c r="DBN49" s="419"/>
      <c r="DBO49" s="419"/>
      <c r="DBP49" s="419"/>
      <c r="DBQ49" s="419"/>
      <c r="DBR49" s="419"/>
      <c r="DBS49" s="419"/>
      <c r="DBT49" s="419"/>
      <c r="DBU49" s="419"/>
      <c r="DBV49" s="419"/>
      <c r="DBW49" s="419"/>
      <c r="DBX49" s="419"/>
      <c r="DBY49" s="419"/>
      <c r="DBZ49" s="419"/>
      <c r="DCA49" s="419"/>
      <c r="DCB49" s="419"/>
      <c r="DCC49" s="419"/>
      <c r="DCD49" s="419"/>
      <c r="DCE49" s="419"/>
      <c r="DCF49" s="419"/>
      <c r="DCG49" s="419"/>
      <c r="DCH49" s="419"/>
      <c r="DCI49" s="419"/>
      <c r="DCJ49" s="419"/>
      <c r="DCK49" s="419"/>
      <c r="DCL49" s="419"/>
      <c r="DCM49" s="419"/>
      <c r="DCN49" s="419"/>
      <c r="DCO49" s="419"/>
      <c r="DCP49" s="419"/>
      <c r="DCQ49" s="419"/>
      <c r="DCR49" s="419"/>
      <c r="DCS49" s="419"/>
      <c r="DCT49" s="419"/>
      <c r="DCU49" s="419"/>
      <c r="DCV49" s="419"/>
      <c r="DCW49" s="419"/>
      <c r="DCX49" s="419"/>
      <c r="DCY49" s="419"/>
      <c r="DCZ49" s="419"/>
      <c r="DDA49" s="419"/>
      <c r="DDB49" s="419"/>
      <c r="DDC49" s="419"/>
      <c r="DDD49" s="419"/>
      <c r="DDE49" s="419"/>
      <c r="DDF49" s="419"/>
      <c r="DDG49" s="419"/>
      <c r="DDH49" s="419"/>
      <c r="DDI49" s="419"/>
      <c r="DDJ49" s="419"/>
      <c r="DDK49" s="419"/>
      <c r="DDL49" s="419"/>
      <c r="DDM49" s="419"/>
      <c r="DDN49" s="419"/>
      <c r="DDO49" s="419"/>
      <c r="DDP49" s="419"/>
      <c r="DDQ49" s="419"/>
      <c r="DDR49" s="419"/>
      <c r="DDS49" s="419"/>
      <c r="DDT49" s="419"/>
      <c r="DDU49" s="419"/>
      <c r="DDV49" s="419"/>
      <c r="DDW49" s="419"/>
      <c r="DDX49" s="419"/>
      <c r="DDY49" s="419"/>
      <c r="DDZ49" s="419"/>
      <c r="DEA49" s="419"/>
      <c r="DEB49" s="419"/>
      <c r="DEC49" s="419"/>
      <c r="DED49" s="419"/>
      <c r="DEE49" s="419"/>
      <c r="DEF49" s="419"/>
      <c r="DEG49" s="419"/>
      <c r="DEH49" s="419"/>
      <c r="DEI49" s="419"/>
      <c r="DEJ49" s="419"/>
      <c r="DEK49" s="419"/>
      <c r="DEL49" s="419"/>
      <c r="DEM49" s="419"/>
      <c r="DEN49" s="419"/>
      <c r="DEO49" s="419"/>
      <c r="DEP49" s="419"/>
      <c r="DEQ49" s="419"/>
      <c r="DER49" s="419"/>
      <c r="DES49" s="419"/>
      <c r="DET49" s="419"/>
      <c r="DEU49" s="419"/>
      <c r="DEV49" s="419"/>
      <c r="DEW49" s="419"/>
      <c r="DEX49" s="419"/>
      <c r="DEY49" s="419"/>
      <c r="DEZ49" s="419"/>
      <c r="DFA49" s="419"/>
      <c r="DFB49" s="419"/>
      <c r="DFC49" s="419"/>
      <c r="DFD49" s="419"/>
      <c r="DFE49" s="419"/>
      <c r="DFF49" s="419"/>
      <c r="DFG49" s="419"/>
      <c r="DFH49" s="419"/>
      <c r="DFI49" s="419"/>
      <c r="DFJ49" s="419"/>
      <c r="DFK49" s="419"/>
      <c r="DFL49" s="419"/>
      <c r="DFM49" s="419"/>
      <c r="DFN49" s="419"/>
      <c r="DFO49" s="419"/>
      <c r="DFP49" s="419"/>
      <c r="DFQ49" s="419"/>
      <c r="DFR49" s="419"/>
      <c r="DFS49" s="419"/>
      <c r="DFT49" s="419"/>
      <c r="DFU49" s="419"/>
      <c r="DFV49" s="419"/>
      <c r="DFW49" s="419"/>
      <c r="DFX49" s="419"/>
      <c r="DFY49" s="419"/>
      <c r="DFZ49" s="419"/>
      <c r="DGA49" s="419"/>
      <c r="DGB49" s="419"/>
      <c r="DGC49" s="419"/>
      <c r="DGD49" s="419"/>
      <c r="DGE49" s="419"/>
      <c r="DGF49" s="419"/>
      <c r="DGG49" s="419"/>
      <c r="DGH49" s="419"/>
      <c r="DGI49" s="419"/>
      <c r="DGJ49" s="419"/>
      <c r="DGK49" s="419"/>
      <c r="DGL49" s="419"/>
      <c r="DGM49" s="419"/>
      <c r="DGN49" s="419"/>
      <c r="DGO49" s="419"/>
      <c r="DGP49" s="419"/>
      <c r="DGQ49" s="419"/>
      <c r="DGR49" s="419"/>
      <c r="DGS49" s="419"/>
      <c r="DGT49" s="419"/>
      <c r="DGU49" s="419"/>
      <c r="DGV49" s="419"/>
      <c r="DGW49" s="419"/>
      <c r="DGX49" s="419"/>
      <c r="DGY49" s="419"/>
      <c r="DGZ49" s="419"/>
      <c r="DHA49" s="419"/>
      <c r="DHB49" s="419"/>
      <c r="DHC49" s="419"/>
      <c r="DHD49" s="419"/>
      <c r="DHE49" s="419"/>
      <c r="DHF49" s="419"/>
      <c r="DHG49" s="419"/>
      <c r="DHH49" s="419"/>
      <c r="DHI49" s="419"/>
      <c r="DHJ49" s="419"/>
      <c r="DHK49" s="419"/>
      <c r="DHL49" s="419"/>
      <c r="DHM49" s="419"/>
      <c r="DHN49" s="419"/>
      <c r="DHO49" s="419"/>
      <c r="DHP49" s="419"/>
      <c r="DHQ49" s="419"/>
      <c r="DHR49" s="419"/>
      <c r="DHS49" s="419"/>
      <c r="DHT49" s="419"/>
      <c r="DHU49" s="419"/>
      <c r="DHV49" s="419"/>
      <c r="DHW49" s="419"/>
      <c r="DHX49" s="419"/>
      <c r="DHY49" s="419"/>
      <c r="DHZ49" s="419"/>
      <c r="DIA49" s="419"/>
      <c r="DIB49" s="419"/>
      <c r="DIC49" s="419"/>
      <c r="DID49" s="419"/>
      <c r="DIE49" s="419"/>
      <c r="DIF49" s="419"/>
      <c r="DIG49" s="419"/>
      <c r="DIH49" s="419"/>
      <c r="DII49" s="419"/>
      <c r="DIJ49" s="419"/>
      <c r="DIK49" s="419"/>
      <c r="DIL49" s="419"/>
      <c r="DIM49" s="419"/>
      <c r="DIN49" s="419"/>
      <c r="DIO49" s="419"/>
      <c r="DIP49" s="419"/>
      <c r="DIQ49" s="419"/>
      <c r="DIR49" s="419"/>
      <c r="DIS49" s="419"/>
      <c r="DIT49" s="419"/>
      <c r="DIU49" s="419"/>
      <c r="DIV49" s="419"/>
      <c r="DIW49" s="419"/>
      <c r="DIX49" s="419"/>
      <c r="DIY49" s="419"/>
      <c r="DIZ49" s="419"/>
      <c r="DJA49" s="419"/>
      <c r="DJB49" s="419"/>
      <c r="DJC49" s="419"/>
      <c r="DJD49" s="419"/>
      <c r="DJE49" s="419"/>
      <c r="DJF49" s="419"/>
      <c r="DJG49" s="419"/>
      <c r="DJH49" s="419"/>
      <c r="DJI49" s="419"/>
      <c r="DJJ49" s="419"/>
      <c r="DJK49" s="419"/>
      <c r="DJL49" s="419"/>
      <c r="DJM49" s="419"/>
      <c r="DJN49" s="419"/>
      <c r="DJO49" s="419"/>
      <c r="DJP49" s="419"/>
      <c r="DJQ49" s="419"/>
      <c r="DJR49" s="419"/>
      <c r="DJS49" s="419"/>
      <c r="DJT49" s="419"/>
      <c r="DJU49" s="419"/>
      <c r="DJV49" s="419"/>
      <c r="DJW49" s="419"/>
      <c r="DJX49" s="419"/>
      <c r="DJY49" s="419"/>
      <c r="DJZ49" s="419"/>
      <c r="DKA49" s="419"/>
      <c r="DKB49" s="419"/>
      <c r="DKC49" s="419"/>
      <c r="DKD49" s="419"/>
      <c r="DKE49" s="419"/>
      <c r="DKF49" s="419"/>
      <c r="DKG49" s="419"/>
      <c r="DKH49" s="419"/>
      <c r="DKI49" s="419"/>
      <c r="DKJ49" s="419"/>
      <c r="DKK49" s="419"/>
      <c r="DKL49" s="419"/>
      <c r="DKM49" s="419"/>
      <c r="DKN49" s="419"/>
      <c r="DKO49" s="419"/>
      <c r="DKP49" s="419"/>
      <c r="DKQ49" s="419"/>
      <c r="DKR49" s="419"/>
      <c r="DKS49" s="419"/>
      <c r="DKT49" s="419"/>
      <c r="DKU49" s="419"/>
      <c r="DKV49" s="419"/>
      <c r="DKW49" s="419"/>
      <c r="DKX49" s="419"/>
      <c r="DKY49" s="419"/>
      <c r="DKZ49" s="419"/>
      <c r="DLA49" s="419"/>
      <c r="DLB49" s="419"/>
      <c r="DLC49" s="419"/>
      <c r="DLD49" s="419"/>
      <c r="DLE49" s="419"/>
      <c r="DLF49" s="419"/>
      <c r="DLG49" s="419"/>
      <c r="DLH49" s="419"/>
      <c r="DLI49" s="419"/>
      <c r="DLJ49" s="419"/>
      <c r="DLK49" s="419"/>
      <c r="DLL49" s="419"/>
      <c r="DLM49" s="419"/>
      <c r="DLN49" s="419"/>
      <c r="DLO49" s="419"/>
      <c r="DLP49" s="419"/>
      <c r="DLQ49" s="419"/>
      <c r="DLR49" s="419"/>
      <c r="DLS49" s="419"/>
      <c r="DLT49" s="419"/>
      <c r="DLU49" s="419"/>
      <c r="DLV49" s="419"/>
      <c r="DLW49" s="419"/>
      <c r="DLX49" s="419"/>
      <c r="DLY49" s="419"/>
      <c r="DLZ49" s="419"/>
      <c r="DMA49" s="419"/>
      <c r="DMB49" s="419"/>
      <c r="DMC49" s="419"/>
      <c r="DMD49" s="419"/>
      <c r="DME49" s="419"/>
      <c r="DMF49" s="419"/>
      <c r="DMG49" s="419"/>
      <c r="DMH49" s="419"/>
      <c r="DMI49" s="419"/>
      <c r="DMJ49" s="419"/>
      <c r="DMK49" s="419"/>
      <c r="DML49" s="419"/>
      <c r="DMM49" s="419"/>
      <c r="DMN49" s="419"/>
      <c r="DMO49" s="419"/>
      <c r="DMP49" s="419"/>
      <c r="DMQ49" s="419"/>
      <c r="DMR49" s="419"/>
      <c r="DMS49" s="419"/>
      <c r="DMT49" s="419"/>
      <c r="DMU49" s="419"/>
      <c r="DMV49" s="419"/>
      <c r="DMW49" s="419"/>
      <c r="DMX49" s="419"/>
      <c r="DMY49" s="419"/>
      <c r="DMZ49" s="419"/>
      <c r="DNA49" s="419"/>
      <c r="DNB49" s="419"/>
      <c r="DNC49" s="419"/>
      <c r="DND49" s="419"/>
      <c r="DNE49" s="419"/>
      <c r="DNF49" s="419"/>
      <c r="DNG49" s="419"/>
      <c r="DNH49" s="419"/>
      <c r="DNI49" s="419"/>
      <c r="DNJ49" s="419"/>
      <c r="DNK49" s="419"/>
      <c r="DNL49" s="419"/>
      <c r="DNM49" s="419"/>
      <c r="DNN49" s="419"/>
      <c r="DNO49" s="419"/>
      <c r="DNP49" s="419"/>
      <c r="DNQ49" s="419"/>
      <c r="DNR49" s="419"/>
      <c r="DNS49" s="419"/>
      <c r="DNT49" s="419"/>
      <c r="DNU49" s="419"/>
      <c r="DNV49" s="419"/>
      <c r="DNW49" s="419"/>
      <c r="DNX49" s="419"/>
      <c r="DNY49" s="419"/>
      <c r="DNZ49" s="419"/>
      <c r="DOA49" s="419"/>
      <c r="DOB49" s="419"/>
      <c r="DOC49" s="419"/>
      <c r="DOD49" s="419"/>
      <c r="DOE49" s="419"/>
      <c r="DOF49" s="419"/>
      <c r="DOG49" s="419"/>
      <c r="DOH49" s="419"/>
      <c r="DOI49" s="419"/>
      <c r="DOJ49" s="419"/>
      <c r="DOK49" s="419"/>
      <c r="DOL49" s="419"/>
      <c r="DOM49" s="419"/>
      <c r="DON49" s="419"/>
      <c r="DOO49" s="419"/>
      <c r="DOP49" s="419"/>
      <c r="DOQ49" s="419"/>
      <c r="DOR49" s="419"/>
      <c r="DOS49" s="419"/>
      <c r="DOT49" s="419"/>
      <c r="DOU49" s="419"/>
      <c r="DOV49" s="419"/>
      <c r="DOW49" s="419"/>
      <c r="DOX49" s="419"/>
      <c r="DOY49" s="419"/>
      <c r="DOZ49" s="419"/>
      <c r="DPA49" s="419"/>
      <c r="DPB49" s="419"/>
      <c r="DPC49" s="419"/>
      <c r="DPD49" s="419"/>
      <c r="DPE49" s="419"/>
      <c r="DPF49" s="419"/>
      <c r="DPG49" s="419"/>
      <c r="DPH49" s="419"/>
      <c r="DPI49" s="419"/>
      <c r="DPJ49" s="419"/>
      <c r="DPK49" s="419"/>
      <c r="DPL49" s="419"/>
      <c r="DPM49" s="419"/>
      <c r="DPN49" s="419"/>
      <c r="DPO49" s="419"/>
      <c r="DPP49" s="419"/>
      <c r="DPQ49" s="419"/>
      <c r="DPR49" s="419"/>
      <c r="DPS49" s="419"/>
      <c r="DPT49" s="419"/>
      <c r="DPU49" s="419"/>
      <c r="DPV49" s="419"/>
      <c r="DPW49" s="419"/>
      <c r="DPX49" s="419"/>
      <c r="DPY49" s="419"/>
      <c r="DPZ49" s="419"/>
      <c r="DQA49" s="419"/>
      <c r="DQB49" s="419"/>
      <c r="DQC49" s="419"/>
      <c r="DQD49" s="419"/>
      <c r="DQE49" s="419"/>
      <c r="DQF49" s="419"/>
      <c r="DQG49" s="419"/>
      <c r="DQH49" s="419"/>
      <c r="DQI49" s="419"/>
      <c r="DQJ49" s="419"/>
      <c r="DQK49" s="419"/>
      <c r="DQL49" s="419"/>
      <c r="DQM49" s="419"/>
      <c r="DQN49" s="419"/>
      <c r="DQO49" s="419"/>
      <c r="DQP49" s="419"/>
      <c r="DQQ49" s="419"/>
      <c r="DQR49" s="419"/>
      <c r="DQS49" s="419"/>
      <c r="DQT49" s="419"/>
      <c r="DQU49" s="419"/>
      <c r="DQV49" s="419"/>
      <c r="DQW49" s="419"/>
      <c r="DQX49" s="419"/>
      <c r="DQY49" s="419"/>
      <c r="DQZ49" s="419"/>
      <c r="DRA49" s="419"/>
      <c r="DRB49" s="419"/>
      <c r="DRC49" s="419"/>
      <c r="DRD49" s="419"/>
      <c r="DRE49" s="419"/>
      <c r="DRF49" s="419"/>
      <c r="DRG49" s="419"/>
      <c r="DRH49" s="419"/>
      <c r="DRI49" s="419"/>
      <c r="DRJ49" s="419"/>
      <c r="DRK49" s="419"/>
      <c r="DRL49" s="419"/>
      <c r="DRM49" s="419"/>
      <c r="DRN49" s="419"/>
      <c r="DRO49" s="419"/>
      <c r="DRP49" s="419"/>
      <c r="DRQ49" s="419"/>
      <c r="DRR49" s="419"/>
      <c r="DRS49" s="419"/>
      <c r="DRT49" s="419"/>
      <c r="DRU49" s="419"/>
      <c r="DRV49" s="419"/>
      <c r="DRW49" s="419"/>
      <c r="DRX49" s="419"/>
      <c r="DRY49" s="419"/>
      <c r="DRZ49" s="419"/>
      <c r="DSA49" s="419"/>
      <c r="DSB49" s="419"/>
      <c r="DSC49" s="419"/>
      <c r="DSD49" s="419"/>
      <c r="DSE49" s="419"/>
      <c r="DSF49" s="419"/>
      <c r="DSG49" s="419"/>
      <c r="DSH49" s="419"/>
      <c r="DSI49" s="419"/>
      <c r="DSJ49" s="419"/>
      <c r="DSK49" s="419"/>
      <c r="DSL49" s="419"/>
      <c r="DSM49" s="419"/>
      <c r="DSN49" s="419"/>
      <c r="DSO49" s="419"/>
      <c r="DSP49" s="419"/>
      <c r="DSQ49" s="419"/>
      <c r="DSR49" s="419"/>
      <c r="DSS49" s="419"/>
      <c r="DST49" s="419"/>
      <c r="DSU49" s="419"/>
      <c r="DSV49" s="419"/>
      <c r="DSW49" s="419"/>
      <c r="DSX49" s="419"/>
      <c r="DSY49" s="419"/>
      <c r="DSZ49" s="419"/>
      <c r="DTA49" s="419"/>
      <c r="DTB49" s="419"/>
      <c r="DTC49" s="419"/>
      <c r="DTD49" s="419"/>
      <c r="DTE49" s="419"/>
      <c r="DTF49" s="419"/>
      <c r="DTG49" s="419"/>
      <c r="DTH49" s="419"/>
      <c r="DTI49" s="419"/>
      <c r="DTJ49" s="419"/>
      <c r="DTK49" s="419"/>
      <c r="DTL49" s="419"/>
      <c r="DTM49" s="419"/>
      <c r="DTN49" s="419"/>
      <c r="DTO49" s="419"/>
      <c r="DTP49" s="419"/>
      <c r="DTQ49" s="419"/>
      <c r="DTR49" s="419"/>
      <c r="DTS49" s="419"/>
      <c r="DTT49" s="419"/>
      <c r="DTU49" s="419"/>
      <c r="DTV49" s="419"/>
      <c r="DTW49" s="419"/>
      <c r="DTX49" s="419"/>
      <c r="DTY49" s="419"/>
      <c r="DTZ49" s="419"/>
      <c r="DUA49" s="419"/>
      <c r="DUB49" s="419"/>
      <c r="DUC49" s="419"/>
      <c r="DUD49" s="419"/>
      <c r="DUE49" s="419"/>
      <c r="DUF49" s="419"/>
      <c r="DUG49" s="419"/>
      <c r="DUH49" s="419"/>
      <c r="DUI49" s="419"/>
      <c r="DUJ49" s="419"/>
      <c r="DUK49" s="419"/>
      <c r="DUL49" s="419"/>
      <c r="DUM49" s="419"/>
      <c r="DUN49" s="419"/>
      <c r="DUO49" s="419"/>
      <c r="DUP49" s="419"/>
      <c r="DUQ49" s="419"/>
      <c r="DUR49" s="419"/>
      <c r="DUS49" s="419"/>
      <c r="DUT49" s="419"/>
      <c r="DUU49" s="419"/>
      <c r="DUV49" s="419"/>
      <c r="DUW49" s="419"/>
      <c r="DUX49" s="419"/>
      <c r="DUY49" s="419"/>
      <c r="DUZ49" s="419"/>
      <c r="DVA49" s="419"/>
      <c r="DVB49" s="419"/>
      <c r="DVC49" s="419"/>
      <c r="DVD49" s="419"/>
      <c r="DVE49" s="419"/>
      <c r="DVF49" s="419"/>
      <c r="DVG49" s="419"/>
      <c r="DVH49" s="419"/>
      <c r="DVI49" s="419"/>
      <c r="DVJ49" s="419"/>
      <c r="DVK49" s="419"/>
      <c r="DVL49" s="419"/>
      <c r="DVM49" s="419"/>
      <c r="DVN49" s="419"/>
      <c r="DVO49" s="419"/>
      <c r="DVP49" s="419"/>
      <c r="DVQ49" s="419"/>
      <c r="DVR49" s="419"/>
      <c r="DVS49" s="419"/>
      <c r="DVT49" s="419"/>
      <c r="DVU49" s="419"/>
      <c r="DVV49" s="419"/>
      <c r="DVW49" s="419"/>
      <c r="DVX49" s="419"/>
      <c r="DVY49" s="419"/>
      <c r="DVZ49" s="419"/>
      <c r="DWA49" s="419"/>
      <c r="DWB49" s="419"/>
      <c r="DWC49" s="419"/>
      <c r="DWD49" s="419"/>
      <c r="DWE49" s="419"/>
      <c r="DWF49" s="419"/>
      <c r="DWG49" s="419"/>
      <c r="DWH49" s="419"/>
      <c r="DWI49" s="419"/>
      <c r="DWJ49" s="419"/>
      <c r="DWK49" s="419"/>
      <c r="DWL49" s="419"/>
      <c r="DWM49" s="419"/>
      <c r="DWN49" s="419"/>
      <c r="DWO49" s="419"/>
      <c r="DWP49" s="419"/>
      <c r="DWQ49" s="419"/>
      <c r="DWR49" s="419"/>
      <c r="DWS49" s="419"/>
      <c r="DWT49" s="419"/>
      <c r="DWU49" s="419"/>
      <c r="DWV49" s="419"/>
      <c r="DWW49" s="419"/>
      <c r="DWX49" s="419"/>
      <c r="DWY49" s="419"/>
      <c r="DWZ49" s="419"/>
      <c r="DXA49" s="419"/>
      <c r="DXB49" s="419"/>
      <c r="DXC49" s="419"/>
      <c r="DXD49" s="419"/>
      <c r="DXE49" s="419"/>
      <c r="DXF49" s="419"/>
      <c r="DXG49" s="419"/>
      <c r="DXH49" s="419"/>
      <c r="DXI49" s="419"/>
      <c r="DXJ49" s="419"/>
      <c r="DXK49" s="419"/>
      <c r="DXL49" s="419"/>
      <c r="DXM49" s="419"/>
      <c r="DXN49" s="419"/>
      <c r="DXO49" s="419"/>
      <c r="DXP49" s="419"/>
      <c r="DXQ49" s="419"/>
      <c r="DXR49" s="419"/>
      <c r="DXS49" s="419"/>
      <c r="DXT49" s="419"/>
      <c r="DXU49" s="419"/>
      <c r="DXV49" s="419"/>
      <c r="DXW49" s="419"/>
      <c r="DXX49" s="419"/>
      <c r="DXY49" s="419"/>
      <c r="DXZ49" s="419"/>
      <c r="DYA49" s="419"/>
      <c r="DYB49" s="419"/>
      <c r="DYC49" s="419"/>
      <c r="DYD49" s="419"/>
      <c r="DYE49" s="419"/>
      <c r="DYF49" s="419"/>
      <c r="DYG49" s="419"/>
      <c r="DYH49" s="419"/>
      <c r="DYI49" s="419"/>
      <c r="DYJ49" s="419"/>
      <c r="DYK49" s="419"/>
      <c r="DYL49" s="419"/>
      <c r="DYM49" s="419"/>
      <c r="DYN49" s="419"/>
      <c r="DYO49" s="419"/>
      <c r="DYP49" s="419"/>
      <c r="DYQ49" s="419"/>
      <c r="DYR49" s="419"/>
      <c r="DYS49" s="419"/>
      <c r="DYT49" s="419"/>
      <c r="DYU49" s="419"/>
      <c r="DYV49" s="419"/>
      <c r="DYW49" s="419"/>
      <c r="DYX49" s="419"/>
      <c r="DYY49" s="419"/>
      <c r="DYZ49" s="419"/>
      <c r="DZA49" s="419"/>
      <c r="DZB49" s="419"/>
      <c r="DZC49" s="419"/>
      <c r="DZD49" s="419"/>
      <c r="DZE49" s="419"/>
      <c r="DZF49" s="419"/>
      <c r="DZG49" s="419"/>
      <c r="DZH49" s="419"/>
      <c r="DZI49" s="419"/>
      <c r="DZJ49" s="419"/>
      <c r="DZK49" s="419"/>
      <c r="DZL49" s="419"/>
      <c r="DZM49" s="419"/>
      <c r="DZN49" s="419"/>
      <c r="DZO49" s="419"/>
      <c r="DZP49" s="419"/>
      <c r="DZQ49" s="419"/>
      <c r="DZR49" s="419"/>
      <c r="DZS49" s="419"/>
      <c r="DZT49" s="419"/>
      <c r="DZU49" s="419"/>
      <c r="DZV49" s="419"/>
      <c r="DZW49" s="419"/>
      <c r="DZX49" s="419"/>
      <c r="DZY49" s="419"/>
      <c r="DZZ49" s="419"/>
      <c r="EAA49" s="419"/>
      <c r="EAB49" s="419"/>
      <c r="EAC49" s="419"/>
      <c r="EAD49" s="419"/>
      <c r="EAE49" s="419"/>
      <c r="EAF49" s="419"/>
      <c r="EAG49" s="419"/>
      <c r="EAH49" s="419"/>
      <c r="EAI49" s="419"/>
      <c r="EAJ49" s="419"/>
      <c r="EAK49" s="419"/>
      <c r="EAL49" s="419"/>
      <c r="EAM49" s="419"/>
      <c r="EAN49" s="419"/>
      <c r="EAO49" s="419"/>
      <c r="EAP49" s="419"/>
      <c r="EAQ49" s="419"/>
      <c r="EAR49" s="419"/>
      <c r="EAS49" s="419"/>
      <c r="EAT49" s="419"/>
      <c r="EAU49" s="419"/>
      <c r="EAV49" s="419"/>
      <c r="EAW49" s="419"/>
      <c r="EAX49" s="419"/>
      <c r="EAY49" s="419"/>
      <c r="EAZ49" s="419"/>
      <c r="EBA49" s="419"/>
      <c r="EBB49" s="419"/>
      <c r="EBC49" s="419"/>
      <c r="EBD49" s="419"/>
      <c r="EBE49" s="419"/>
      <c r="EBF49" s="419"/>
      <c r="EBG49" s="419"/>
      <c r="EBH49" s="419"/>
      <c r="EBI49" s="419"/>
      <c r="EBJ49" s="419"/>
      <c r="EBK49" s="419"/>
      <c r="EBL49" s="419"/>
      <c r="EBM49" s="419"/>
      <c r="EBN49" s="419"/>
      <c r="EBO49" s="419"/>
      <c r="EBP49" s="419"/>
      <c r="EBQ49" s="419"/>
      <c r="EBR49" s="419"/>
      <c r="EBS49" s="419"/>
      <c r="EBT49" s="419"/>
      <c r="EBU49" s="419"/>
      <c r="EBV49" s="419"/>
      <c r="EBW49" s="419"/>
      <c r="EBX49" s="419"/>
      <c r="EBY49" s="419"/>
      <c r="EBZ49" s="419"/>
      <c r="ECA49" s="419"/>
      <c r="ECB49" s="419"/>
      <c r="ECC49" s="419"/>
      <c r="ECD49" s="419"/>
      <c r="ECE49" s="419"/>
      <c r="ECF49" s="419"/>
      <c r="ECG49" s="419"/>
      <c r="ECH49" s="419"/>
      <c r="ECI49" s="419"/>
      <c r="ECJ49" s="419"/>
      <c r="ECK49" s="419"/>
      <c r="ECL49" s="419"/>
      <c r="ECM49" s="419"/>
      <c r="ECN49" s="419"/>
      <c r="ECO49" s="419"/>
      <c r="ECP49" s="419"/>
      <c r="ECQ49" s="419"/>
      <c r="ECR49" s="419"/>
      <c r="ECS49" s="419"/>
      <c r="ECT49" s="419"/>
      <c r="ECU49" s="419"/>
      <c r="ECV49" s="419"/>
      <c r="ECW49" s="419"/>
      <c r="ECX49" s="419"/>
      <c r="ECY49" s="419"/>
      <c r="ECZ49" s="419"/>
      <c r="EDA49" s="419"/>
      <c r="EDB49" s="419"/>
      <c r="EDC49" s="419"/>
      <c r="EDD49" s="419"/>
      <c r="EDE49" s="419"/>
      <c r="EDF49" s="419"/>
      <c r="EDG49" s="419"/>
      <c r="EDH49" s="419"/>
      <c r="EDI49" s="419"/>
      <c r="EDJ49" s="419"/>
      <c r="EDK49" s="419"/>
      <c r="EDL49" s="419"/>
      <c r="EDM49" s="419"/>
      <c r="EDN49" s="419"/>
      <c r="EDO49" s="419"/>
      <c r="EDP49" s="419"/>
      <c r="EDQ49" s="419"/>
      <c r="EDR49" s="419"/>
      <c r="EDS49" s="419"/>
      <c r="EDT49" s="419"/>
      <c r="EDU49" s="419"/>
      <c r="EDV49" s="419"/>
      <c r="EDW49" s="419"/>
      <c r="EDX49" s="419"/>
      <c r="EDY49" s="419"/>
      <c r="EDZ49" s="419"/>
      <c r="EEA49" s="419"/>
      <c r="EEB49" s="419"/>
      <c r="EEC49" s="419"/>
      <c r="EED49" s="419"/>
      <c r="EEE49" s="419"/>
      <c r="EEF49" s="419"/>
      <c r="EEG49" s="419"/>
      <c r="EEH49" s="419"/>
      <c r="EEI49" s="419"/>
      <c r="EEJ49" s="419"/>
      <c r="EEK49" s="419"/>
      <c r="EEL49" s="419"/>
      <c r="EEM49" s="419"/>
      <c r="EEN49" s="419"/>
      <c r="EEO49" s="419"/>
      <c r="EEP49" s="419"/>
      <c r="EEQ49" s="419"/>
      <c r="EER49" s="419"/>
      <c r="EES49" s="419"/>
      <c r="EET49" s="419"/>
      <c r="EEU49" s="419"/>
      <c r="EEV49" s="419"/>
      <c r="EEW49" s="419"/>
      <c r="EEX49" s="419"/>
      <c r="EEY49" s="419"/>
      <c r="EEZ49" s="419"/>
      <c r="EFA49" s="419"/>
      <c r="EFB49" s="419"/>
      <c r="EFC49" s="419"/>
      <c r="EFD49" s="419"/>
      <c r="EFE49" s="419"/>
      <c r="EFF49" s="419"/>
      <c r="EFG49" s="419"/>
      <c r="EFH49" s="419"/>
      <c r="EFI49" s="419"/>
      <c r="EFJ49" s="419"/>
      <c r="EFK49" s="419"/>
      <c r="EFL49" s="419"/>
      <c r="EFM49" s="419"/>
      <c r="EFN49" s="419"/>
      <c r="EFO49" s="419"/>
      <c r="EFP49" s="419"/>
      <c r="EFQ49" s="419"/>
      <c r="EFR49" s="419"/>
      <c r="EFS49" s="419"/>
      <c r="EFT49" s="419"/>
      <c r="EFU49" s="419"/>
      <c r="EFV49" s="419"/>
      <c r="EFW49" s="419"/>
      <c r="EFX49" s="419"/>
      <c r="EFY49" s="419"/>
      <c r="EFZ49" s="419"/>
      <c r="EGA49" s="419"/>
      <c r="EGB49" s="419"/>
      <c r="EGC49" s="419"/>
      <c r="EGD49" s="419"/>
      <c r="EGE49" s="419"/>
      <c r="EGF49" s="419"/>
      <c r="EGG49" s="419"/>
      <c r="EGH49" s="419"/>
      <c r="EGI49" s="419"/>
      <c r="EGJ49" s="419"/>
      <c r="EGK49" s="419"/>
      <c r="EGL49" s="419"/>
      <c r="EGM49" s="419"/>
      <c r="EGN49" s="419"/>
      <c r="EGO49" s="419"/>
      <c r="EGP49" s="419"/>
      <c r="EGQ49" s="419"/>
      <c r="EGR49" s="419"/>
      <c r="EGS49" s="419"/>
      <c r="EGT49" s="419"/>
      <c r="EGU49" s="419"/>
      <c r="EGV49" s="419"/>
      <c r="EGW49" s="419"/>
      <c r="EGX49" s="419"/>
      <c r="EGY49" s="419"/>
      <c r="EGZ49" s="419"/>
      <c r="EHA49" s="419"/>
      <c r="EHB49" s="419"/>
      <c r="EHC49" s="419"/>
      <c r="EHD49" s="419"/>
      <c r="EHE49" s="419"/>
      <c r="EHF49" s="419"/>
      <c r="EHG49" s="419"/>
      <c r="EHH49" s="419"/>
      <c r="EHI49" s="419"/>
      <c r="EHJ49" s="419"/>
      <c r="EHK49" s="419"/>
      <c r="EHL49" s="419"/>
      <c r="EHM49" s="419"/>
      <c r="EHN49" s="419"/>
      <c r="EHO49" s="419"/>
      <c r="EHP49" s="419"/>
      <c r="EHQ49" s="419"/>
      <c r="EHR49" s="419"/>
      <c r="EHS49" s="419"/>
      <c r="EHT49" s="419"/>
      <c r="EHU49" s="419"/>
      <c r="EHV49" s="419"/>
      <c r="EHW49" s="419"/>
      <c r="EHX49" s="419"/>
      <c r="EHY49" s="419"/>
      <c r="EHZ49" s="419"/>
      <c r="EIA49" s="419"/>
      <c r="EIB49" s="419"/>
      <c r="EIC49" s="419"/>
      <c r="EID49" s="419"/>
      <c r="EIE49" s="419"/>
      <c r="EIF49" s="419"/>
      <c r="EIG49" s="419"/>
      <c r="EIH49" s="419"/>
      <c r="EII49" s="419"/>
      <c r="EIJ49" s="419"/>
      <c r="EIK49" s="419"/>
      <c r="EIL49" s="419"/>
      <c r="EIM49" s="419"/>
      <c r="EIN49" s="419"/>
      <c r="EIO49" s="419"/>
      <c r="EIP49" s="419"/>
      <c r="EIQ49" s="419"/>
      <c r="EIR49" s="419"/>
      <c r="EIS49" s="419"/>
      <c r="EIT49" s="419"/>
      <c r="EIU49" s="419"/>
      <c r="EIV49" s="419"/>
      <c r="EIW49" s="419"/>
      <c r="EIX49" s="419"/>
      <c r="EIY49" s="419"/>
      <c r="EIZ49" s="419"/>
      <c r="EJA49" s="419"/>
      <c r="EJB49" s="419"/>
      <c r="EJC49" s="419"/>
      <c r="EJD49" s="419"/>
      <c r="EJE49" s="419"/>
      <c r="EJF49" s="419"/>
      <c r="EJG49" s="419"/>
      <c r="EJH49" s="419"/>
      <c r="EJI49" s="419"/>
      <c r="EJJ49" s="419"/>
      <c r="EJK49" s="419"/>
      <c r="EJL49" s="419"/>
      <c r="EJM49" s="419"/>
      <c r="EJN49" s="419"/>
      <c r="EJO49" s="419"/>
      <c r="EJP49" s="419"/>
      <c r="EJQ49" s="419"/>
      <c r="EJR49" s="419"/>
      <c r="EJS49" s="419"/>
      <c r="EJT49" s="419"/>
      <c r="EJU49" s="419"/>
      <c r="EJV49" s="419"/>
      <c r="EJW49" s="419"/>
      <c r="EJX49" s="419"/>
      <c r="EJY49" s="419"/>
      <c r="EJZ49" s="419"/>
      <c r="EKA49" s="419"/>
      <c r="EKB49" s="419"/>
      <c r="EKC49" s="419"/>
      <c r="EKD49" s="419"/>
      <c r="EKE49" s="419"/>
      <c r="EKF49" s="419"/>
      <c r="EKG49" s="419"/>
      <c r="EKH49" s="419"/>
      <c r="EKI49" s="419"/>
      <c r="EKJ49" s="419"/>
      <c r="EKK49" s="419"/>
      <c r="EKL49" s="419"/>
      <c r="EKM49" s="419"/>
      <c r="EKN49" s="419"/>
      <c r="EKO49" s="419"/>
      <c r="EKP49" s="419"/>
      <c r="EKQ49" s="419"/>
      <c r="EKR49" s="419"/>
      <c r="EKS49" s="419"/>
      <c r="EKT49" s="419"/>
      <c r="EKU49" s="419"/>
      <c r="EKV49" s="419"/>
      <c r="EKW49" s="419"/>
      <c r="EKX49" s="419"/>
      <c r="EKY49" s="419"/>
      <c r="EKZ49" s="419"/>
      <c r="ELA49" s="419"/>
      <c r="ELB49" s="419"/>
      <c r="ELC49" s="419"/>
      <c r="ELD49" s="419"/>
      <c r="ELE49" s="419"/>
      <c r="ELF49" s="419"/>
      <c r="ELG49" s="419"/>
      <c r="ELH49" s="419"/>
      <c r="ELI49" s="419"/>
      <c r="ELJ49" s="419"/>
      <c r="ELK49" s="419"/>
      <c r="ELL49" s="419"/>
      <c r="ELM49" s="419"/>
      <c r="ELN49" s="419"/>
      <c r="ELO49" s="419"/>
      <c r="ELP49" s="419"/>
      <c r="ELQ49" s="419"/>
      <c r="ELR49" s="419"/>
      <c r="ELS49" s="419"/>
      <c r="ELT49" s="419"/>
      <c r="ELU49" s="419"/>
      <c r="ELV49" s="419"/>
      <c r="ELW49" s="419"/>
      <c r="ELX49" s="419"/>
      <c r="ELY49" s="419"/>
      <c r="ELZ49" s="419"/>
      <c r="EMA49" s="419"/>
      <c r="EMB49" s="419"/>
      <c r="EMC49" s="419"/>
      <c r="EMD49" s="419"/>
      <c r="EME49" s="419"/>
      <c r="EMF49" s="419"/>
      <c r="EMG49" s="419"/>
      <c r="EMH49" s="419"/>
      <c r="EMI49" s="419"/>
      <c r="EMJ49" s="419"/>
      <c r="EMK49" s="419"/>
      <c r="EML49" s="419"/>
      <c r="EMM49" s="419"/>
      <c r="EMN49" s="419"/>
      <c r="EMO49" s="419"/>
      <c r="EMP49" s="419"/>
      <c r="EMQ49" s="419"/>
      <c r="EMR49" s="419"/>
      <c r="EMS49" s="419"/>
      <c r="EMT49" s="419"/>
      <c r="EMU49" s="419"/>
      <c r="EMV49" s="419"/>
      <c r="EMW49" s="419"/>
      <c r="EMX49" s="419"/>
      <c r="EMY49" s="419"/>
      <c r="EMZ49" s="419"/>
      <c r="ENA49" s="419"/>
      <c r="ENB49" s="419"/>
      <c r="ENC49" s="419"/>
      <c r="END49" s="419"/>
      <c r="ENE49" s="419"/>
      <c r="ENF49" s="419"/>
      <c r="ENG49" s="419"/>
      <c r="ENH49" s="419"/>
      <c r="ENI49" s="419"/>
      <c r="ENJ49" s="419"/>
      <c r="ENK49" s="419"/>
      <c r="ENL49" s="419"/>
      <c r="ENM49" s="419"/>
      <c r="ENN49" s="419"/>
      <c r="ENO49" s="419"/>
      <c r="ENP49" s="419"/>
      <c r="ENQ49" s="419"/>
      <c r="ENR49" s="419"/>
      <c r="ENS49" s="419"/>
      <c r="ENT49" s="419"/>
      <c r="ENU49" s="419"/>
      <c r="ENV49" s="419"/>
      <c r="ENW49" s="419"/>
      <c r="ENX49" s="419"/>
      <c r="ENY49" s="419"/>
      <c r="ENZ49" s="419"/>
      <c r="EOA49" s="419"/>
      <c r="EOB49" s="419"/>
      <c r="EOC49" s="419"/>
      <c r="EOD49" s="419"/>
      <c r="EOE49" s="419"/>
      <c r="EOF49" s="419"/>
      <c r="EOG49" s="419"/>
      <c r="EOH49" s="419"/>
      <c r="EOI49" s="419"/>
      <c r="EOJ49" s="419"/>
      <c r="EOK49" s="419"/>
      <c r="EOL49" s="419"/>
      <c r="EOM49" s="419"/>
      <c r="EON49" s="419"/>
      <c r="EOO49" s="419"/>
      <c r="EOP49" s="419"/>
      <c r="EOQ49" s="419"/>
      <c r="EOR49" s="419"/>
      <c r="EOS49" s="419"/>
      <c r="EOT49" s="419"/>
      <c r="EOU49" s="419"/>
      <c r="EOV49" s="419"/>
      <c r="EOW49" s="419"/>
      <c r="EOX49" s="419"/>
      <c r="EOY49" s="419"/>
      <c r="EOZ49" s="419"/>
      <c r="EPA49" s="419"/>
      <c r="EPB49" s="419"/>
      <c r="EPC49" s="419"/>
      <c r="EPD49" s="419"/>
      <c r="EPE49" s="419"/>
      <c r="EPF49" s="419"/>
      <c r="EPG49" s="419"/>
      <c r="EPH49" s="419"/>
      <c r="EPI49" s="419"/>
      <c r="EPJ49" s="419"/>
      <c r="EPK49" s="419"/>
      <c r="EPL49" s="419"/>
      <c r="EPM49" s="419"/>
      <c r="EPN49" s="419"/>
      <c r="EPO49" s="419"/>
      <c r="EPP49" s="419"/>
      <c r="EPQ49" s="419"/>
      <c r="EPR49" s="419"/>
      <c r="EPS49" s="419"/>
      <c r="EPT49" s="419"/>
      <c r="EPU49" s="419"/>
      <c r="EPV49" s="419"/>
      <c r="EPW49" s="419"/>
      <c r="EPX49" s="419"/>
      <c r="EPY49" s="419"/>
      <c r="EPZ49" s="419"/>
      <c r="EQA49" s="419"/>
      <c r="EQB49" s="419"/>
      <c r="EQC49" s="419"/>
      <c r="EQD49" s="419"/>
      <c r="EQE49" s="419"/>
      <c r="EQF49" s="419"/>
      <c r="EQG49" s="419"/>
      <c r="EQH49" s="419"/>
      <c r="EQI49" s="419"/>
      <c r="EQJ49" s="419"/>
      <c r="EQK49" s="419"/>
      <c r="EQL49" s="419"/>
      <c r="EQM49" s="419"/>
      <c r="EQN49" s="419"/>
      <c r="EQO49" s="419"/>
      <c r="EQP49" s="419"/>
      <c r="EQQ49" s="419"/>
      <c r="EQR49" s="419"/>
      <c r="EQS49" s="419"/>
      <c r="EQT49" s="419"/>
      <c r="EQU49" s="419"/>
      <c r="EQV49" s="419"/>
      <c r="EQW49" s="419"/>
      <c r="EQX49" s="419"/>
      <c r="EQY49" s="419"/>
      <c r="EQZ49" s="419"/>
      <c r="ERA49" s="419"/>
      <c r="ERB49" s="419"/>
      <c r="ERC49" s="419"/>
      <c r="ERD49" s="419"/>
      <c r="ERE49" s="419"/>
      <c r="ERF49" s="419"/>
      <c r="ERG49" s="419"/>
      <c r="ERH49" s="419"/>
      <c r="ERI49" s="419"/>
      <c r="ERJ49" s="419"/>
      <c r="ERK49" s="419"/>
      <c r="ERL49" s="419"/>
      <c r="ERM49" s="419"/>
      <c r="ERN49" s="419"/>
      <c r="ERO49" s="419"/>
      <c r="ERP49" s="419"/>
      <c r="ERQ49" s="419"/>
      <c r="ERR49" s="419"/>
      <c r="ERS49" s="419"/>
      <c r="ERT49" s="419"/>
      <c r="ERU49" s="419"/>
      <c r="ERV49" s="419"/>
      <c r="ERW49" s="419"/>
      <c r="ERX49" s="419"/>
      <c r="ERY49" s="419"/>
      <c r="ERZ49" s="419"/>
      <c r="ESA49" s="419"/>
      <c r="ESB49" s="419"/>
      <c r="ESC49" s="419"/>
      <c r="ESD49" s="419"/>
      <c r="ESE49" s="419"/>
      <c r="ESF49" s="419"/>
      <c r="ESG49" s="419"/>
      <c r="ESH49" s="419"/>
      <c r="ESI49" s="419"/>
      <c r="ESJ49" s="419"/>
      <c r="ESK49" s="419"/>
      <c r="ESL49" s="419"/>
      <c r="ESM49" s="419"/>
      <c r="ESN49" s="419"/>
      <c r="ESO49" s="419"/>
      <c r="ESP49" s="419"/>
      <c r="ESQ49" s="419"/>
      <c r="ESR49" s="419"/>
      <c r="ESS49" s="419"/>
      <c r="EST49" s="419"/>
      <c r="ESU49" s="419"/>
      <c r="ESV49" s="419"/>
      <c r="ESW49" s="419"/>
      <c r="ESX49" s="419"/>
      <c r="ESY49" s="419"/>
      <c r="ESZ49" s="419"/>
      <c r="ETA49" s="419"/>
      <c r="ETB49" s="419"/>
      <c r="ETC49" s="419"/>
      <c r="ETD49" s="419"/>
      <c r="ETE49" s="419"/>
      <c r="ETF49" s="419"/>
      <c r="ETG49" s="419"/>
      <c r="ETH49" s="419"/>
      <c r="ETI49" s="419"/>
      <c r="ETJ49" s="419"/>
      <c r="ETK49" s="419"/>
      <c r="ETL49" s="419"/>
      <c r="ETM49" s="419"/>
      <c r="ETN49" s="419"/>
      <c r="ETO49" s="419"/>
      <c r="ETP49" s="419"/>
      <c r="ETQ49" s="419"/>
      <c r="ETR49" s="419"/>
      <c r="ETS49" s="419"/>
      <c r="ETT49" s="419"/>
      <c r="ETU49" s="419"/>
      <c r="ETV49" s="419"/>
      <c r="ETW49" s="419"/>
      <c r="ETX49" s="419"/>
      <c r="ETY49" s="419"/>
      <c r="ETZ49" s="419"/>
      <c r="EUA49" s="419"/>
      <c r="EUB49" s="419"/>
      <c r="EUC49" s="419"/>
      <c r="EUD49" s="419"/>
      <c r="EUE49" s="419"/>
      <c r="EUF49" s="419"/>
      <c r="EUG49" s="419"/>
      <c r="EUH49" s="419"/>
      <c r="EUI49" s="419"/>
      <c r="EUJ49" s="419"/>
      <c r="EUK49" s="419"/>
      <c r="EUL49" s="419"/>
      <c r="EUM49" s="419"/>
      <c r="EUN49" s="419"/>
      <c r="EUO49" s="419"/>
      <c r="EUP49" s="419"/>
      <c r="EUQ49" s="419"/>
      <c r="EUR49" s="419"/>
      <c r="EUS49" s="419"/>
      <c r="EUT49" s="419"/>
      <c r="EUU49" s="419"/>
      <c r="EUV49" s="419"/>
      <c r="EUW49" s="419"/>
      <c r="EUX49" s="419"/>
      <c r="EUY49" s="419"/>
      <c r="EUZ49" s="419"/>
      <c r="EVA49" s="419"/>
      <c r="EVB49" s="419"/>
      <c r="EVC49" s="419"/>
      <c r="EVD49" s="419"/>
      <c r="EVE49" s="419"/>
      <c r="EVF49" s="419"/>
      <c r="EVG49" s="419"/>
      <c r="EVH49" s="419"/>
      <c r="EVI49" s="419"/>
      <c r="EVJ49" s="419"/>
      <c r="EVK49" s="419"/>
      <c r="EVL49" s="419"/>
      <c r="EVM49" s="419"/>
      <c r="EVN49" s="419"/>
      <c r="EVO49" s="419"/>
      <c r="EVP49" s="419"/>
      <c r="EVQ49" s="419"/>
      <c r="EVR49" s="419"/>
      <c r="EVS49" s="419"/>
      <c r="EVT49" s="419"/>
      <c r="EVU49" s="419"/>
      <c r="EVV49" s="419"/>
      <c r="EVW49" s="419"/>
      <c r="EVX49" s="419"/>
      <c r="EVY49" s="419"/>
      <c r="EVZ49" s="419"/>
      <c r="EWA49" s="419"/>
      <c r="EWB49" s="419"/>
      <c r="EWC49" s="419"/>
      <c r="EWD49" s="419"/>
      <c r="EWE49" s="419"/>
      <c r="EWF49" s="419"/>
      <c r="EWG49" s="419"/>
      <c r="EWH49" s="419"/>
      <c r="EWI49" s="419"/>
      <c r="EWJ49" s="419"/>
      <c r="EWK49" s="419"/>
      <c r="EWL49" s="419"/>
      <c r="EWM49" s="419"/>
      <c r="EWN49" s="419"/>
      <c r="EWO49" s="419"/>
      <c r="EWP49" s="419"/>
      <c r="EWQ49" s="419"/>
      <c r="EWR49" s="419"/>
      <c r="EWS49" s="419"/>
      <c r="EWT49" s="419"/>
      <c r="EWU49" s="419"/>
      <c r="EWV49" s="419"/>
      <c r="EWW49" s="419"/>
      <c r="EWX49" s="419"/>
      <c r="EWY49" s="419"/>
      <c r="EWZ49" s="419"/>
      <c r="EXA49" s="419"/>
      <c r="EXB49" s="419"/>
      <c r="EXC49" s="419"/>
      <c r="EXD49" s="419"/>
      <c r="EXE49" s="419"/>
      <c r="EXF49" s="419"/>
      <c r="EXG49" s="419"/>
      <c r="EXH49" s="419"/>
      <c r="EXI49" s="419"/>
      <c r="EXJ49" s="419"/>
      <c r="EXK49" s="419"/>
      <c r="EXL49" s="419"/>
      <c r="EXM49" s="419"/>
      <c r="EXN49" s="419"/>
      <c r="EXO49" s="419"/>
      <c r="EXP49" s="419"/>
      <c r="EXQ49" s="419"/>
      <c r="EXR49" s="419"/>
      <c r="EXS49" s="419"/>
      <c r="EXT49" s="419"/>
      <c r="EXU49" s="419"/>
      <c r="EXV49" s="419"/>
      <c r="EXW49" s="419"/>
      <c r="EXX49" s="419"/>
      <c r="EXY49" s="419"/>
      <c r="EXZ49" s="419"/>
      <c r="EYA49" s="419"/>
      <c r="EYB49" s="419"/>
      <c r="EYC49" s="419"/>
      <c r="EYD49" s="419"/>
      <c r="EYE49" s="419"/>
      <c r="EYF49" s="419"/>
      <c r="EYG49" s="419"/>
      <c r="EYH49" s="419"/>
      <c r="EYI49" s="419"/>
      <c r="EYJ49" s="419"/>
      <c r="EYK49" s="419"/>
      <c r="EYL49" s="419"/>
      <c r="EYM49" s="419"/>
      <c r="EYN49" s="419"/>
      <c r="EYO49" s="419"/>
      <c r="EYP49" s="419"/>
      <c r="EYQ49" s="419"/>
      <c r="EYR49" s="419"/>
      <c r="EYS49" s="419"/>
      <c r="EYT49" s="419"/>
      <c r="EYU49" s="419"/>
      <c r="EYV49" s="419"/>
      <c r="EYW49" s="419"/>
      <c r="EYX49" s="419"/>
      <c r="EYY49" s="419"/>
      <c r="EYZ49" s="419"/>
      <c r="EZA49" s="419"/>
      <c r="EZB49" s="419"/>
      <c r="EZC49" s="419"/>
      <c r="EZD49" s="419"/>
      <c r="EZE49" s="419"/>
      <c r="EZF49" s="419"/>
      <c r="EZG49" s="419"/>
      <c r="EZH49" s="419"/>
      <c r="EZI49" s="419"/>
      <c r="EZJ49" s="419"/>
      <c r="EZK49" s="419"/>
      <c r="EZL49" s="419"/>
      <c r="EZM49" s="419"/>
      <c r="EZN49" s="419"/>
      <c r="EZO49" s="419"/>
      <c r="EZP49" s="419"/>
      <c r="EZQ49" s="419"/>
      <c r="EZR49" s="419"/>
      <c r="EZS49" s="419"/>
      <c r="EZT49" s="419"/>
      <c r="EZU49" s="419"/>
      <c r="EZV49" s="419"/>
      <c r="EZW49" s="419"/>
      <c r="EZX49" s="419"/>
      <c r="EZY49" s="419"/>
      <c r="EZZ49" s="419"/>
      <c r="FAA49" s="419"/>
      <c r="FAB49" s="419"/>
      <c r="FAC49" s="419"/>
      <c r="FAD49" s="419"/>
      <c r="FAE49" s="419"/>
      <c r="FAF49" s="419"/>
      <c r="FAG49" s="419"/>
      <c r="FAH49" s="419"/>
      <c r="FAI49" s="419"/>
      <c r="FAJ49" s="419"/>
      <c r="FAK49" s="419"/>
      <c r="FAL49" s="419"/>
      <c r="FAM49" s="419"/>
      <c r="FAN49" s="419"/>
      <c r="FAO49" s="419"/>
      <c r="FAP49" s="419"/>
      <c r="FAQ49" s="419"/>
      <c r="FAR49" s="419"/>
      <c r="FAS49" s="419"/>
      <c r="FAT49" s="419"/>
      <c r="FAU49" s="419"/>
      <c r="FAV49" s="419"/>
      <c r="FAW49" s="419"/>
      <c r="FAX49" s="419"/>
      <c r="FAY49" s="419"/>
      <c r="FAZ49" s="419"/>
      <c r="FBA49" s="419"/>
      <c r="FBB49" s="419"/>
      <c r="FBC49" s="419"/>
      <c r="FBD49" s="419"/>
      <c r="FBE49" s="419"/>
      <c r="FBF49" s="419"/>
      <c r="FBG49" s="419"/>
      <c r="FBH49" s="419"/>
      <c r="FBI49" s="419"/>
      <c r="FBJ49" s="419"/>
      <c r="FBK49" s="419"/>
      <c r="FBL49" s="419"/>
      <c r="FBM49" s="419"/>
      <c r="FBN49" s="419"/>
      <c r="FBO49" s="419"/>
      <c r="FBP49" s="419"/>
      <c r="FBQ49" s="419"/>
      <c r="FBR49" s="419"/>
      <c r="FBS49" s="419"/>
      <c r="FBT49" s="419"/>
      <c r="FBU49" s="419"/>
      <c r="FBV49" s="419"/>
      <c r="FBW49" s="419"/>
      <c r="FBX49" s="419"/>
      <c r="FBY49" s="419"/>
      <c r="FBZ49" s="419"/>
      <c r="FCA49" s="419"/>
      <c r="FCB49" s="419"/>
      <c r="FCC49" s="419"/>
      <c r="FCD49" s="419"/>
      <c r="FCE49" s="419"/>
      <c r="FCF49" s="419"/>
      <c r="FCG49" s="419"/>
      <c r="FCH49" s="419"/>
      <c r="FCI49" s="419"/>
      <c r="FCJ49" s="419"/>
      <c r="FCK49" s="419"/>
      <c r="FCL49" s="419"/>
      <c r="FCM49" s="419"/>
      <c r="FCN49" s="419"/>
      <c r="FCO49" s="419"/>
      <c r="FCP49" s="419"/>
      <c r="FCQ49" s="419"/>
      <c r="FCR49" s="419"/>
      <c r="FCS49" s="419"/>
      <c r="FCT49" s="419"/>
      <c r="FCU49" s="419"/>
      <c r="FCV49" s="419"/>
      <c r="FCW49" s="419"/>
      <c r="FCX49" s="419"/>
      <c r="FCY49" s="419"/>
      <c r="FCZ49" s="419"/>
      <c r="FDA49" s="419"/>
      <c r="FDB49" s="419"/>
      <c r="FDC49" s="419"/>
      <c r="FDD49" s="419"/>
      <c r="FDE49" s="419"/>
      <c r="FDF49" s="419"/>
      <c r="FDG49" s="419"/>
      <c r="FDH49" s="419"/>
      <c r="FDI49" s="419"/>
      <c r="FDJ49" s="419"/>
      <c r="FDK49" s="419"/>
      <c r="FDL49" s="419"/>
      <c r="FDM49" s="419"/>
      <c r="FDN49" s="419"/>
      <c r="FDO49" s="419"/>
      <c r="FDP49" s="419"/>
      <c r="FDQ49" s="419"/>
      <c r="FDR49" s="419"/>
      <c r="FDS49" s="419"/>
      <c r="FDT49" s="419"/>
      <c r="FDU49" s="419"/>
      <c r="FDV49" s="419"/>
      <c r="FDW49" s="419"/>
      <c r="FDX49" s="419"/>
      <c r="FDY49" s="419"/>
      <c r="FDZ49" s="419"/>
      <c r="FEA49" s="419"/>
      <c r="FEB49" s="419"/>
      <c r="FEC49" s="419"/>
      <c r="FED49" s="419"/>
      <c r="FEE49" s="419"/>
      <c r="FEF49" s="419"/>
      <c r="FEG49" s="419"/>
      <c r="FEH49" s="419"/>
      <c r="FEI49" s="419"/>
      <c r="FEJ49" s="419"/>
      <c r="FEK49" s="419"/>
      <c r="FEL49" s="419"/>
      <c r="FEM49" s="419"/>
      <c r="FEN49" s="419"/>
      <c r="FEO49" s="419"/>
      <c r="FEP49" s="419"/>
      <c r="FEQ49" s="419"/>
      <c r="FER49" s="419"/>
      <c r="FES49" s="419"/>
      <c r="FET49" s="419"/>
      <c r="FEU49" s="419"/>
      <c r="FEV49" s="419"/>
      <c r="FEW49" s="419"/>
      <c r="FEX49" s="419"/>
      <c r="FEY49" s="419"/>
      <c r="FEZ49" s="419"/>
      <c r="FFA49" s="419"/>
      <c r="FFB49" s="419"/>
      <c r="FFC49" s="419"/>
      <c r="FFD49" s="419"/>
      <c r="FFE49" s="419"/>
      <c r="FFF49" s="419"/>
      <c r="FFG49" s="419"/>
      <c r="FFH49" s="419"/>
      <c r="FFI49" s="419"/>
      <c r="FFJ49" s="419"/>
      <c r="FFK49" s="419"/>
      <c r="FFL49" s="419"/>
      <c r="FFM49" s="419"/>
      <c r="FFN49" s="419"/>
      <c r="FFO49" s="419"/>
      <c r="FFP49" s="419"/>
      <c r="FFQ49" s="419"/>
      <c r="FFR49" s="419"/>
      <c r="FFS49" s="419"/>
      <c r="FFT49" s="419"/>
      <c r="FFU49" s="419"/>
      <c r="FFV49" s="419"/>
      <c r="FFW49" s="419"/>
      <c r="FFX49" s="419"/>
      <c r="FFY49" s="419"/>
      <c r="FFZ49" s="419"/>
      <c r="FGA49" s="419"/>
      <c r="FGB49" s="419"/>
      <c r="FGC49" s="419"/>
      <c r="FGD49" s="419"/>
      <c r="FGE49" s="419"/>
      <c r="FGF49" s="419"/>
      <c r="FGG49" s="419"/>
      <c r="FGH49" s="419"/>
      <c r="FGI49" s="419"/>
      <c r="FGJ49" s="419"/>
      <c r="FGK49" s="419"/>
      <c r="FGL49" s="419"/>
      <c r="FGM49" s="419"/>
      <c r="FGN49" s="419"/>
      <c r="FGO49" s="419"/>
      <c r="FGP49" s="419"/>
      <c r="FGQ49" s="419"/>
      <c r="FGR49" s="419"/>
      <c r="FGS49" s="419"/>
      <c r="FGT49" s="419"/>
      <c r="FGU49" s="419"/>
      <c r="FGV49" s="419"/>
      <c r="FGW49" s="419"/>
      <c r="FGX49" s="419"/>
      <c r="FGY49" s="419"/>
      <c r="FGZ49" s="419"/>
      <c r="FHA49" s="419"/>
      <c r="FHB49" s="419"/>
      <c r="FHC49" s="419"/>
      <c r="FHD49" s="419"/>
      <c r="FHE49" s="419"/>
      <c r="FHF49" s="419"/>
      <c r="FHG49" s="419"/>
      <c r="FHH49" s="419"/>
      <c r="FHI49" s="419"/>
      <c r="FHJ49" s="419"/>
      <c r="FHK49" s="419"/>
      <c r="FHL49" s="419"/>
      <c r="FHM49" s="419"/>
      <c r="FHN49" s="419"/>
      <c r="FHO49" s="419"/>
      <c r="FHP49" s="419"/>
      <c r="FHQ49" s="419"/>
      <c r="FHR49" s="419"/>
      <c r="FHS49" s="419"/>
      <c r="FHT49" s="419"/>
      <c r="FHU49" s="419"/>
      <c r="FHV49" s="419"/>
      <c r="FHW49" s="419"/>
      <c r="FHX49" s="419"/>
      <c r="FHY49" s="419"/>
      <c r="FHZ49" s="419"/>
      <c r="FIA49" s="419"/>
      <c r="FIB49" s="419"/>
      <c r="FIC49" s="419"/>
      <c r="FID49" s="419"/>
      <c r="FIE49" s="419"/>
      <c r="FIF49" s="419"/>
      <c r="FIG49" s="419"/>
      <c r="FIH49" s="419"/>
      <c r="FII49" s="419"/>
      <c r="FIJ49" s="419"/>
      <c r="FIK49" s="419"/>
      <c r="FIL49" s="419"/>
      <c r="FIM49" s="419"/>
      <c r="FIN49" s="419"/>
      <c r="FIO49" s="419"/>
      <c r="FIP49" s="419"/>
      <c r="FIQ49" s="419"/>
      <c r="FIR49" s="419"/>
      <c r="FIS49" s="419"/>
      <c r="FIT49" s="419"/>
      <c r="FIU49" s="419"/>
      <c r="FIV49" s="419"/>
      <c r="FIW49" s="419"/>
      <c r="FIX49" s="419"/>
      <c r="FIY49" s="419"/>
      <c r="FIZ49" s="419"/>
      <c r="FJA49" s="419"/>
      <c r="FJB49" s="419"/>
      <c r="FJC49" s="419"/>
      <c r="FJD49" s="419"/>
      <c r="FJE49" s="419"/>
      <c r="FJF49" s="419"/>
      <c r="FJG49" s="419"/>
      <c r="FJH49" s="419"/>
      <c r="FJI49" s="419"/>
      <c r="FJJ49" s="419"/>
      <c r="FJK49" s="419"/>
      <c r="FJL49" s="419"/>
      <c r="FJM49" s="419"/>
      <c r="FJN49" s="419"/>
      <c r="FJO49" s="419"/>
      <c r="FJP49" s="419"/>
      <c r="FJQ49" s="419"/>
      <c r="FJR49" s="419"/>
      <c r="FJS49" s="419"/>
      <c r="FJT49" s="419"/>
      <c r="FJU49" s="419"/>
      <c r="FJV49" s="419"/>
      <c r="FJW49" s="419"/>
      <c r="FJX49" s="419"/>
      <c r="FJY49" s="419"/>
      <c r="FJZ49" s="419"/>
      <c r="FKA49" s="419"/>
      <c r="FKB49" s="419"/>
      <c r="FKC49" s="419"/>
      <c r="FKD49" s="419"/>
      <c r="FKE49" s="419"/>
      <c r="FKF49" s="419"/>
      <c r="FKG49" s="419"/>
      <c r="FKH49" s="419"/>
      <c r="FKI49" s="419"/>
      <c r="FKJ49" s="419"/>
      <c r="FKK49" s="419"/>
      <c r="FKL49" s="419"/>
      <c r="FKM49" s="419"/>
      <c r="FKN49" s="419"/>
      <c r="FKO49" s="419"/>
      <c r="FKP49" s="419"/>
      <c r="FKQ49" s="419"/>
      <c r="FKR49" s="419"/>
      <c r="FKS49" s="419"/>
      <c r="FKT49" s="419"/>
      <c r="FKU49" s="419"/>
      <c r="FKV49" s="419"/>
      <c r="FKW49" s="419"/>
      <c r="FKX49" s="419"/>
      <c r="FKY49" s="419"/>
      <c r="FKZ49" s="419"/>
      <c r="FLA49" s="419"/>
      <c r="FLB49" s="419"/>
      <c r="FLC49" s="419"/>
      <c r="FLD49" s="419"/>
      <c r="FLE49" s="419"/>
      <c r="FLF49" s="419"/>
      <c r="FLG49" s="419"/>
      <c r="FLH49" s="419"/>
      <c r="FLI49" s="419"/>
      <c r="FLJ49" s="419"/>
      <c r="FLK49" s="419"/>
      <c r="FLL49" s="419"/>
      <c r="FLM49" s="419"/>
      <c r="FLN49" s="419"/>
      <c r="FLO49" s="419"/>
      <c r="FLP49" s="419"/>
      <c r="FLQ49" s="419"/>
      <c r="FLR49" s="419"/>
      <c r="FLS49" s="419"/>
      <c r="FLT49" s="419"/>
      <c r="FLU49" s="419"/>
      <c r="FLV49" s="419"/>
      <c r="FLW49" s="419"/>
      <c r="FLX49" s="419"/>
      <c r="FLY49" s="419"/>
      <c r="FLZ49" s="419"/>
      <c r="FMA49" s="419"/>
      <c r="FMB49" s="419"/>
      <c r="FMC49" s="419"/>
      <c r="FMD49" s="419"/>
      <c r="FME49" s="419"/>
      <c r="FMF49" s="419"/>
      <c r="FMG49" s="419"/>
      <c r="FMH49" s="419"/>
      <c r="FMI49" s="419"/>
      <c r="FMJ49" s="419"/>
      <c r="FMK49" s="419"/>
      <c r="FML49" s="419"/>
      <c r="FMM49" s="419"/>
      <c r="FMN49" s="419"/>
      <c r="FMO49" s="419"/>
      <c r="FMP49" s="419"/>
      <c r="FMQ49" s="419"/>
      <c r="FMR49" s="419"/>
      <c r="FMS49" s="419"/>
      <c r="FMT49" s="419"/>
      <c r="FMU49" s="419"/>
      <c r="FMV49" s="419"/>
      <c r="FMW49" s="419"/>
      <c r="FMX49" s="419"/>
      <c r="FMY49" s="419"/>
      <c r="FMZ49" s="419"/>
      <c r="FNA49" s="419"/>
      <c r="FNB49" s="419"/>
      <c r="FNC49" s="419"/>
      <c r="FND49" s="419"/>
      <c r="FNE49" s="419"/>
      <c r="FNF49" s="419"/>
      <c r="FNG49" s="419"/>
      <c r="FNH49" s="419"/>
      <c r="FNI49" s="419"/>
      <c r="FNJ49" s="419"/>
      <c r="FNK49" s="419"/>
      <c r="FNL49" s="419"/>
      <c r="FNM49" s="419"/>
      <c r="FNN49" s="419"/>
      <c r="FNO49" s="419"/>
      <c r="FNP49" s="419"/>
      <c r="FNQ49" s="419"/>
      <c r="FNR49" s="419"/>
      <c r="FNS49" s="419"/>
      <c r="FNT49" s="419"/>
      <c r="FNU49" s="419"/>
      <c r="FNV49" s="419"/>
      <c r="FNW49" s="419"/>
      <c r="FNX49" s="419"/>
      <c r="FNY49" s="419"/>
      <c r="FNZ49" s="419"/>
      <c r="FOA49" s="419"/>
      <c r="FOB49" s="419"/>
      <c r="FOC49" s="419"/>
      <c r="FOD49" s="419"/>
      <c r="FOE49" s="419"/>
      <c r="FOF49" s="419"/>
      <c r="FOG49" s="419"/>
      <c r="FOH49" s="419"/>
      <c r="FOI49" s="419"/>
      <c r="FOJ49" s="419"/>
      <c r="FOK49" s="419"/>
      <c r="FOL49" s="419"/>
      <c r="FOM49" s="419"/>
      <c r="FON49" s="419"/>
      <c r="FOO49" s="419"/>
      <c r="FOP49" s="419"/>
      <c r="FOQ49" s="419"/>
      <c r="FOR49" s="419"/>
      <c r="FOS49" s="419"/>
      <c r="FOT49" s="419"/>
      <c r="FOU49" s="419"/>
      <c r="FOV49" s="419"/>
      <c r="FOW49" s="419"/>
      <c r="FOX49" s="419"/>
      <c r="FOY49" s="419"/>
      <c r="FOZ49" s="419"/>
      <c r="FPA49" s="419"/>
      <c r="FPB49" s="419"/>
      <c r="FPC49" s="419"/>
      <c r="FPD49" s="419"/>
      <c r="FPE49" s="419"/>
      <c r="FPF49" s="419"/>
      <c r="FPG49" s="419"/>
      <c r="FPH49" s="419"/>
      <c r="FPI49" s="419"/>
      <c r="FPJ49" s="419"/>
      <c r="FPK49" s="419"/>
      <c r="FPL49" s="419"/>
      <c r="FPM49" s="419"/>
      <c r="FPN49" s="419"/>
      <c r="FPO49" s="419"/>
      <c r="FPP49" s="419"/>
      <c r="FPQ49" s="419"/>
      <c r="FPR49" s="419"/>
      <c r="FPS49" s="419"/>
      <c r="FPT49" s="419"/>
      <c r="FPU49" s="419"/>
      <c r="FPV49" s="419"/>
      <c r="FPW49" s="419"/>
      <c r="FPX49" s="419"/>
      <c r="FPY49" s="419"/>
      <c r="FPZ49" s="419"/>
      <c r="FQA49" s="419"/>
      <c r="FQB49" s="419"/>
      <c r="FQC49" s="419"/>
      <c r="FQD49" s="419"/>
      <c r="FQE49" s="419"/>
      <c r="FQF49" s="419"/>
      <c r="FQG49" s="419"/>
      <c r="FQH49" s="419"/>
      <c r="FQI49" s="419"/>
      <c r="FQJ49" s="419"/>
      <c r="FQK49" s="419"/>
      <c r="FQL49" s="419"/>
      <c r="FQM49" s="419"/>
      <c r="FQN49" s="419"/>
      <c r="FQO49" s="419"/>
      <c r="FQP49" s="419"/>
      <c r="FQQ49" s="419"/>
      <c r="FQR49" s="419"/>
      <c r="FQS49" s="419"/>
      <c r="FQT49" s="419"/>
      <c r="FQU49" s="419"/>
      <c r="FQV49" s="419"/>
      <c r="FQW49" s="419"/>
      <c r="FQX49" s="419"/>
      <c r="FQY49" s="419"/>
      <c r="FQZ49" s="419"/>
      <c r="FRA49" s="419"/>
      <c r="FRB49" s="419"/>
      <c r="FRC49" s="419"/>
      <c r="FRD49" s="419"/>
      <c r="FRE49" s="419"/>
      <c r="FRF49" s="419"/>
      <c r="FRG49" s="419"/>
      <c r="FRH49" s="419"/>
      <c r="FRI49" s="419"/>
      <c r="FRJ49" s="419"/>
      <c r="FRK49" s="419"/>
      <c r="FRL49" s="419"/>
      <c r="FRM49" s="419"/>
      <c r="FRN49" s="419"/>
      <c r="FRO49" s="419"/>
      <c r="FRP49" s="419"/>
      <c r="FRQ49" s="419"/>
      <c r="FRR49" s="419"/>
      <c r="FRS49" s="419"/>
      <c r="FRT49" s="419"/>
      <c r="FRU49" s="419"/>
      <c r="FRV49" s="419"/>
      <c r="FRW49" s="419"/>
      <c r="FRX49" s="419"/>
      <c r="FRY49" s="419"/>
      <c r="FRZ49" s="419"/>
      <c r="FSA49" s="419"/>
      <c r="FSB49" s="419"/>
      <c r="FSC49" s="419"/>
      <c r="FSD49" s="419"/>
      <c r="FSE49" s="419"/>
      <c r="FSF49" s="419"/>
      <c r="FSG49" s="419"/>
      <c r="FSH49" s="419"/>
      <c r="FSI49" s="419"/>
      <c r="FSJ49" s="419"/>
      <c r="FSK49" s="419"/>
      <c r="FSL49" s="419"/>
      <c r="FSM49" s="419"/>
      <c r="FSN49" s="419"/>
      <c r="FSO49" s="419"/>
      <c r="FSP49" s="419"/>
      <c r="FSQ49" s="419"/>
      <c r="FSR49" s="419"/>
      <c r="FSS49" s="419"/>
      <c r="FST49" s="419"/>
      <c r="FSU49" s="419"/>
      <c r="FSV49" s="419"/>
      <c r="FSW49" s="419"/>
      <c r="FSX49" s="419"/>
      <c r="FSY49" s="419"/>
      <c r="FSZ49" s="419"/>
      <c r="FTA49" s="419"/>
      <c r="FTB49" s="419"/>
      <c r="FTC49" s="419"/>
      <c r="FTD49" s="419"/>
      <c r="FTE49" s="419"/>
      <c r="FTF49" s="419"/>
      <c r="FTG49" s="419"/>
      <c r="FTH49" s="419"/>
      <c r="FTI49" s="419"/>
      <c r="FTJ49" s="419"/>
      <c r="FTK49" s="419"/>
      <c r="FTL49" s="419"/>
      <c r="FTM49" s="419"/>
      <c r="FTN49" s="419"/>
      <c r="FTO49" s="419"/>
      <c r="FTP49" s="419"/>
      <c r="FTQ49" s="419"/>
      <c r="FTR49" s="419"/>
      <c r="FTS49" s="419"/>
      <c r="FTT49" s="419"/>
      <c r="FTU49" s="419"/>
      <c r="FTV49" s="419"/>
      <c r="FTW49" s="419"/>
      <c r="FTX49" s="419"/>
      <c r="FTY49" s="419"/>
      <c r="FTZ49" s="419"/>
      <c r="FUA49" s="419"/>
      <c r="FUB49" s="419"/>
      <c r="FUC49" s="419"/>
      <c r="FUD49" s="419"/>
      <c r="FUE49" s="419"/>
      <c r="FUF49" s="419"/>
      <c r="FUG49" s="419"/>
      <c r="FUH49" s="419"/>
      <c r="FUI49" s="419"/>
      <c r="FUJ49" s="419"/>
      <c r="FUK49" s="419"/>
      <c r="FUL49" s="419"/>
      <c r="FUM49" s="419"/>
      <c r="FUN49" s="419"/>
      <c r="FUO49" s="419"/>
      <c r="FUP49" s="419"/>
      <c r="FUQ49" s="419"/>
      <c r="FUR49" s="419"/>
      <c r="FUS49" s="419"/>
      <c r="FUT49" s="419"/>
      <c r="FUU49" s="419"/>
      <c r="FUV49" s="419"/>
      <c r="FUW49" s="419"/>
      <c r="FUX49" s="419"/>
      <c r="FUY49" s="419"/>
      <c r="FUZ49" s="419"/>
      <c r="FVA49" s="419"/>
      <c r="FVB49" s="419"/>
      <c r="FVC49" s="419"/>
      <c r="FVD49" s="419"/>
      <c r="FVE49" s="419"/>
      <c r="FVF49" s="419"/>
      <c r="FVG49" s="419"/>
      <c r="FVH49" s="419"/>
      <c r="FVI49" s="419"/>
      <c r="FVJ49" s="419"/>
      <c r="FVK49" s="419"/>
      <c r="FVL49" s="419"/>
      <c r="FVM49" s="419"/>
      <c r="FVN49" s="419"/>
      <c r="FVO49" s="419"/>
      <c r="FVP49" s="419"/>
      <c r="FVQ49" s="419"/>
      <c r="FVR49" s="419"/>
      <c r="FVS49" s="419"/>
      <c r="FVT49" s="419"/>
      <c r="FVU49" s="419"/>
      <c r="FVV49" s="419"/>
      <c r="FVW49" s="419"/>
      <c r="FVX49" s="419"/>
      <c r="FVY49" s="419"/>
      <c r="FVZ49" s="419"/>
      <c r="FWA49" s="419"/>
      <c r="FWB49" s="419"/>
      <c r="FWC49" s="419"/>
      <c r="FWD49" s="419"/>
      <c r="FWE49" s="419"/>
      <c r="FWF49" s="419"/>
      <c r="FWG49" s="419"/>
      <c r="FWH49" s="419"/>
      <c r="FWI49" s="419"/>
      <c r="FWJ49" s="419"/>
      <c r="FWK49" s="419"/>
      <c r="FWL49" s="419"/>
      <c r="FWM49" s="419"/>
      <c r="FWN49" s="419"/>
      <c r="FWO49" s="419"/>
      <c r="FWP49" s="419"/>
      <c r="FWQ49" s="419"/>
      <c r="FWR49" s="419"/>
      <c r="FWS49" s="419"/>
      <c r="FWT49" s="419"/>
      <c r="FWU49" s="419"/>
      <c r="FWV49" s="419"/>
      <c r="FWW49" s="419"/>
      <c r="FWX49" s="419"/>
      <c r="FWY49" s="419"/>
      <c r="FWZ49" s="419"/>
      <c r="FXA49" s="419"/>
      <c r="FXB49" s="419"/>
      <c r="FXC49" s="419"/>
      <c r="FXD49" s="419"/>
      <c r="FXE49" s="419"/>
      <c r="FXF49" s="419"/>
      <c r="FXG49" s="419"/>
      <c r="FXH49" s="419"/>
      <c r="FXI49" s="419"/>
      <c r="FXJ49" s="419"/>
      <c r="FXK49" s="419"/>
      <c r="FXL49" s="419"/>
      <c r="FXM49" s="419"/>
      <c r="FXN49" s="419"/>
      <c r="FXO49" s="419"/>
      <c r="FXP49" s="419"/>
      <c r="FXQ49" s="419"/>
      <c r="FXR49" s="419"/>
      <c r="FXS49" s="419"/>
      <c r="FXT49" s="419"/>
      <c r="FXU49" s="419"/>
      <c r="FXV49" s="419"/>
      <c r="FXW49" s="419"/>
      <c r="FXX49" s="419"/>
      <c r="FXY49" s="419"/>
      <c r="FXZ49" s="419"/>
      <c r="FYA49" s="419"/>
      <c r="FYB49" s="419"/>
      <c r="FYC49" s="419"/>
      <c r="FYD49" s="419"/>
      <c r="FYE49" s="419"/>
      <c r="FYF49" s="419"/>
      <c r="FYG49" s="419"/>
      <c r="FYH49" s="419"/>
      <c r="FYI49" s="419"/>
      <c r="FYJ49" s="419"/>
      <c r="FYK49" s="419"/>
      <c r="FYL49" s="419"/>
      <c r="FYM49" s="419"/>
      <c r="FYN49" s="419"/>
      <c r="FYO49" s="419"/>
      <c r="FYP49" s="419"/>
      <c r="FYQ49" s="419"/>
      <c r="FYR49" s="419"/>
      <c r="FYS49" s="419"/>
      <c r="FYT49" s="419"/>
      <c r="FYU49" s="419"/>
      <c r="FYV49" s="419"/>
      <c r="FYW49" s="419"/>
      <c r="FYX49" s="419"/>
      <c r="FYY49" s="419"/>
      <c r="FYZ49" s="419"/>
      <c r="FZA49" s="419"/>
      <c r="FZB49" s="419"/>
      <c r="FZC49" s="419"/>
      <c r="FZD49" s="419"/>
      <c r="FZE49" s="419"/>
      <c r="FZF49" s="419"/>
      <c r="FZG49" s="419"/>
      <c r="FZH49" s="419"/>
      <c r="FZI49" s="419"/>
      <c r="FZJ49" s="419"/>
      <c r="FZK49" s="419"/>
      <c r="FZL49" s="419"/>
      <c r="FZM49" s="419"/>
      <c r="FZN49" s="419"/>
      <c r="FZO49" s="419"/>
      <c r="FZP49" s="419"/>
      <c r="FZQ49" s="419"/>
      <c r="FZR49" s="419"/>
      <c r="FZS49" s="419"/>
      <c r="FZT49" s="419"/>
      <c r="FZU49" s="419"/>
      <c r="FZV49" s="419"/>
      <c r="FZW49" s="419"/>
      <c r="FZX49" s="419"/>
      <c r="FZY49" s="419"/>
      <c r="FZZ49" s="419"/>
      <c r="GAA49" s="419"/>
      <c r="GAB49" s="419"/>
      <c r="GAC49" s="419"/>
      <c r="GAD49" s="419"/>
      <c r="GAE49" s="419"/>
      <c r="GAF49" s="419"/>
      <c r="GAG49" s="419"/>
      <c r="GAH49" s="419"/>
      <c r="GAI49" s="419"/>
      <c r="GAJ49" s="419"/>
      <c r="GAK49" s="419"/>
      <c r="GAL49" s="419"/>
      <c r="GAM49" s="419"/>
      <c r="GAN49" s="419"/>
      <c r="GAO49" s="419"/>
      <c r="GAP49" s="419"/>
      <c r="GAQ49" s="419"/>
      <c r="GAR49" s="419"/>
      <c r="GAS49" s="419"/>
      <c r="GAT49" s="419"/>
      <c r="GAU49" s="419"/>
      <c r="GAV49" s="419"/>
      <c r="GAW49" s="419"/>
      <c r="GAX49" s="419"/>
      <c r="GAY49" s="419"/>
      <c r="GAZ49" s="419"/>
      <c r="GBA49" s="419"/>
      <c r="GBB49" s="419"/>
      <c r="GBC49" s="419"/>
      <c r="GBD49" s="419"/>
      <c r="GBE49" s="419"/>
      <c r="GBF49" s="419"/>
      <c r="GBG49" s="419"/>
      <c r="GBH49" s="419"/>
      <c r="GBI49" s="419"/>
      <c r="GBJ49" s="419"/>
      <c r="GBK49" s="419"/>
      <c r="GBL49" s="419"/>
      <c r="GBM49" s="419"/>
      <c r="GBN49" s="419"/>
      <c r="GBO49" s="419"/>
      <c r="GBP49" s="419"/>
      <c r="GBQ49" s="419"/>
      <c r="GBR49" s="419"/>
      <c r="GBS49" s="419"/>
      <c r="GBT49" s="419"/>
      <c r="GBU49" s="419"/>
      <c r="GBV49" s="419"/>
      <c r="GBW49" s="419"/>
      <c r="GBX49" s="419"/>
      <c r="GBY49" s="419"/>
      <c r="GBZ49" s="419"/>
      <c r="GCA49" s="419"/>
      <c r="GCB49" s="419"/>
      <c r="GCC49" s="419"/>
      <c r="GCD49" s="419"/>
      <c r="GCE49" s="419"/>
      <c r="GCF49" s="419"/>
      <c r="GCG49" s="419"/>
      <c r="GCH49" s="419"/>
      <c r="GCI49" s="419"/>
      <c r="GCJ49" s="419"/>
      <c r="GCK49" s="419"/>
      <c r="GCL49" s="419"/>
      <c r="GCM49" s="419"/>
      <c r="GCN49" s="419"/>
      <c r="GCO49" s="419"/>
      <c r="GCP49" s="419"/>
      <c r="GCQ49" s="419"/>
      <c r="GCR49" s="419"/>
      <c r="GCS49" s="419"/>
      <c r="GCT49" s="419"/>
      <c r="GCU49" s="419"/>
      <c r="GCV49" s="419"/>
      <c r="GCW49" s="419"/>
      <c r="GCX49" s="419"/>
      <c r="GCY49" s="419"/>
      <c r="GCZ49" s="419"/>
      <c r="GDA49" s="419"/>
      <c r="GDB49" s="419"/>
      <c r="GDC49" s="419"/>
      <c r="GDD49" s="419"/>
      <c r="GDE49" s="419"/>
      <c r="GDF49" s="419"/>
      <c r="GDG49" s="419"/>
      <c r="GDH49" s="419"/>
      <c r="GDI49" s="419"/>
      <c r="GDJ49" s="419"/>
      <c r="GDK49" s="419"/>
      <c r="GDL49" s="419"/>
      <c r="GDM49" s="419"/>
      <c r="GDN49" s="419"/>
      <c r="GDO49" s="419"/>
      <c r="GDP49" s="419"/>
      <c r="GDQ49" s="419"/>
      <c r="GDR49" s="419"/>
      <c r="GDS49" s="419"/>
      <c r="GDT49" s="419"/>
      <c r="GDU49" s="419"/>
      <c r="GDV49" s="419"/>
      <c r="GDW49" s="419"/>
      <c r="GDX49" s="419"/>
      <c r="GDY49" s="419"/>
      <c r="GDZ49" s="419"/>
      <c r="GEA49" s="419"/>
      <c r="GEB49" s="419"/>
      <c r="GEC49" s="419"/>
      <c r="GED49" s="419"/>
      <c r="GEE49" s="419"/>
      <c r="GEF49" s="419"/>
      <c r="GEG49" s="419"/>
      <c r="GEH49" s="419"/>
      <c r="GEI49" s="419"/>
      <c r="GEJ49" s="419"/>
      <c r="GEK49" s="419"/>
      <c r="GEL49" s="419"/>
      <c r="GEM49" s="419"/>
      <c r="GEN49" s="419"/>
      <c r="GEO49" s="419"/>
      <c r="GEP49" s="419"/>
      <c r="GEQ49" s="419"/>
      <c r="GER49" s="419"/>
      <c r="GES49" s="419"/>
      <c r="GET49" s="419"/>
      <c r="GEU49" s="419"/>
      <c r="GEV49" s="419"/>
      <c r="GEW49" s="419"/>
      <c r="GEX49" s="419"/>
      <c r="GEY49" s="419"/>
      <c r="GEZ49" s="419"/>
      <c r="GFA49" s="419"/>
      <c r="GFB49" s="419"/>
      <c r="GFC49" s="419"/>
      <c r="GFD49" s="419"/>
      <c r="GFE49" s="419"/>
      <c r="GFF49" s="419"/>
      <c r="GFG49" s="419"/>
      <c r="GFH49" s="419"/>
      <c r="GFI49" s="419"/>
      <c r="GFJ49" s="419"/>
      <c r="GFK49" s="419"/>
      <c r="GFL49" s="419"/>
      <c r="GFM49" s="419"/>
      <c r="GFN49" s="419"/>
      <c r="GFO49" s="419"/>
      <c r="GFP49" s="419"/>
      <c r="GFQ49" s="419"/>
      <c r="GFR49" s="419"/>
      <c r="GFS49" s="419"/>
      <c r="GFT49" s="419"/>
      <c r="GFU49" s="419"/>
      <c r="GFV49" s="419"/>
      <c r="GFW49" s="419"/>
      <c r="GFX49" s="419"/>
      <c r="GFY49" s="419"/>
      <c r="GFZ49" s="419"/>
      <c r="GGA49" s="419"/>
      <c r="GGB49" s="419"/>
      <c r="GGC49" s="419"/>
      <c r="GGD49" s="419"/>
      <c r="GGE49" s="419"/>
      <c r="GGF49" s="419"/>
      <c r="GGG49" s="419"/>
      <c r="GGH49" s="419"/>
      <c r="GGI49" s="419"/>
      <c r="GGJ49" s="419"/>
      <c r="GGK49" s="419"/>
      <c r="GGL49" s="419"/>
      <c r="GGM49" s="419"/>
      <c r="GGN49" s="419"/>
      <c r="GGO49" s="419"/>
      <c r="GGP49" s="419"/>
      <c r="GGQ49" s="419"/>
      <c r="GGR49" s="419"/>
      <c r="GGS49" s="419"/>
      <c r="GGT49" s="419"/>
      <c r="GGU49" s="419"/>
      <c r="GGV49" s="419"/>
      <c r="GGW49" s="419"/>
      <c r="GGX49" s="419"/>
      <c r="GGY49" s="419"/>
      <c r="GGZ49" s="419"/>
      <c r="GHA49" s="419"/>
      <c r="GHB49" s="419"/>
      <c r="GHC49" s="419"/>
      <c r="GHD49" s="419"/>
      <c r="GHE49" s="419"/>
      <c r="GHF49" s="419"/>
      <c r="GHG49" s="419"/>
      <c r="GHH49" s="419"/>
      <c r="GHI49" s="419"/>
      <c r="GHJ49" s="419"/>
      <c r="GHK49" s="419"/>
      <c r="GHL49" s="419"/>
      <c r="GHM49" s="419"/>
      <c r="GHN49" s="419"/>
      <c r="GHO49" s="419"/>
      <c r="GHP49" s="419"/>
      <c r="GHQ49" s="419"/>
      <c r="GHR49" s="419"/>
      <c r="GHS49" s="419"/>
      <c r="GHT49" s="419"/>
      <c r="GHU49" s="419"/>
      <c r="GHV49" s="419"/>
      <c r="GHW49" s="419"/>
      <c r="GHX49" s="419"/>
      <c r="GHY49" s="419"/>
      <c r="GHZ49" s="419"/>
      <c r="GIA49" s="419"/>
      <c r="GIB49" s="419"/>
      <c r="GIC49" s="419"/>
      <c r="GID49" s="419"/>
      <c r="GIE49" s="419"/>
      <c r="GIF49" s="419"/>
      <c r="GIG49" s="419"/>
      <c r="GIH49" s="419"/>
      <c r="GII49" s="419"/>
      <c r="GIJ49" s="419"/>
      <c r="GIK49" s="419"/>
      <c r="GIL49" s="419"/>
      <c r="GIM49" s="419"/>
      <c r="GIN49" s="419"/>
      <c r="GIO49" s="419"/>
      <c r="GIP49" s="419"/>
      <c r="GIQ49" s="419"/>
      <c r="GIR49" s="419"/>
      <c r="GIS49" s="419"/>
      <c r="GIT49" s="419"/>
      <c r="GIU49" s="419"/>
      <c r="GIV49" s="419"/>
      <c r="GIW49" s="419"/>
      <c r="GIX49" s="419"/>
      <c r="GIY49" s="419"/>
      <c r="GIZ49" s="419"/>
      <c r="GJA49" s="419"/>
      <c r="GJB49" s="419"/>
      <c r="GJC49" s="419"/>
      <c r="GJD49" s="419"/>
      <c r="GJE49" s="419"/>
      <c r="GJF49" s="419"/>
      <c r="GJG49" s="419"/>
      <c r="GJH49" s="419"/>
      <c r="GJI49" s="419"/>
      <c r="GJJ49" s="419"/>
      <c r="GJK49" s="419"/>
      <c r="GJL49" s="419"/>
      <c r="GJM49" s="419"/>
      <c r="GJN49" s="419"/>
      <c r="GJO49" s="419"/>
      <c r="GJP49" s="419"/>
      <c r="GJQ49" s="419"/>
      <c r="GJR49" s="419"/>
      <c r="GJS49" s="419"/>
      <c r="GJT49" s="419"/>
      <c r="GJU49" s="419"/>
      <c r="GJV49" s="419"/>
      <c r="GJW49" s="419"/>
      <c r="GJX49" s="419"/>
      <c r="GJY49" s="419"/>
      <c r="GJZ49" s="419"/>
      <c r="GKA49" s="419"/>
      <c r="GKB49" s="419"/>
      <c r="GKC49" s="419"/>
      <c r="GKD49" s="419"/>
      <c r="GKE49" s="419"/>
      <c r="GKF49" s="419"/>
      <c r="GKG49" s="419"/>
      <c r="GKH49" s="419"/>
      <c r="GKI49" s="419"/>
      <c r="GKJ49" s="419"/>
      <c r="GKK49" s="419"/>
      <c r="GKL49" s="419"/>
      <c r="GKM49" s="419"/>
      <c r="GKN49" s="419"/>
      <c r="GKO49" s="419"/>
      <c r="GKP49" s="419"/>
      <c r="GKQ49" s="419"/>
      <c r="GKR49" s="419"/>
      <c r="GKS49" s="419"/>
      <c r="GKT49" s="419"/>
      <c r="GKU49" s="419"/>
      <c r="GKV49" s="419"/>
      <c r="GKW49" s="419"/>
      <c r="GKX49" s="419"/>
      <c r="GKY49" s="419"/>
      <c r="GKZ49" s="419"/>
      <c r="GLA49" s="419"/>
      <c r="GLB49" s="419"/>
      <c r="GLC49" s="419"/>
      <c r="GLD49" s="419"/>
      <c r="GLE49" s="419"/>
      <c r="GLF49" s="419"/>
      <c r="GLG49" s="419"/>
      <c r="GLH49" s="419"/>
      <c r="GLI49" s="419"/>
      <c r="GLJ49" s="419"/>
      <c r="GLK49" s="419"/>
      <c r="GLL49" s="419"/>
      <c r="GLM49" s="419"/>
      <c r="GLN49" s="419"/>
      <c r="GLO49" s="419"/>
      <c r="GLP49" s="419"/>
      <c r="GLQ49" s="419"/>
      <c r="GLR49" s="419"/>
      <c r="GLS49" s="419"/>
      <c r="GLT49" s="419"/>
      <c r="GLU49" s="419"/>
      <c r="GLV49" s="419"/>
      <c r="GLW49" s="419"/>
      <c r="GLX49" s="419"/>
      <c r="GLY49" s="419"/>
      <c r="GLZ49" s="419"/>
      <c r="GMA49" s="419"/>
      <c r="GMB49" s="419"/>
      <c r="GMC49" s="419"/>
      <c r="GMD49" s="419"/>
      <c r="GME49" s="419"/>
      <c r="GMF49" s="419"/>
      <c r="GMG49" s="419"/>
      <c r="GMH49" s="419"/>
      <c r="GMI49" s="419"/>
      <c r="GMJ49" s="419"/>
      <c r="GMK49" s="419"/>
      <c r="GML49" s="419"/>
      <c r="GMM49" s="419"/>
      <c r="GMN49" s="419"/>
      <c r="GMO49" s="419"/>
      <c r="GMP49" s="419"/>
      <c r="GMQ49" s="419"/>
      <c r="GMR49" s="419"/>
      <c r="GMS49" s="419"/>
      <c r="GMT49" s="419"/>
      <c r="GMU49" s="419"/>
      <c r="GMV49" s="419"/>
      <c r="GMW49" s="419"/>
      <c r="GMX49" s="419"/>
      <c r="GMY49" s="419"/>
      <c r="GMZ49" s="419"/>
      <c r="GNA49" s="419"/>
      <c r="GNB49" s="419"/>
      <c r="GNC49" s="419"/>
      <c r="GND49" s="419"/>
      <c r="GNE49" s="419"/>
      <c r="GNF49" s="419"/>
      <c r="GNG49" s="419"/>
      <c r="GNH49" s="419"/>
      <c r="GNI49" s="419"/>
      <c r="GNJ49" s="419"/>
      <c r="GNK49" s="419"/>
      <c r="GNL49" s="419"/>
      <c r="GNM49" s="419"/>
      <c r="GNN49" s="419"/>
      <c r="GNO49" s="419"/>
      <c r="GNP49" s="419"/>
      <c r="GNQ49" s="419"/>
      <c r="GNR49" s="419"/>
      <c r="GNS49" s="419"/>
      <c r="GNT49" s="419"/>
      <c r="GNU49" s="419"/>
      <c r="GNV49" s="419"/>
      <c r="GNW49" s="419"/>
      <c r="GNX49" s="419"/>
      <c r="GNY49" s="419"/>
      <c r="GNZ49" s="419"/>
      <c r="GOA49" s="419"/>
      <c r="GOB49" s="419"/>
      <c r="GOC49" s="419"/>
      <c r="GOD49" s="419"/>
      <c r="GOE49" s="419"/>
      <c r="GOF49" s="419"/>
      <c r="GOG49" s="419"/>
      <c r="GOH49" s="419"/>
      <c r="GOI49" s="419"/>
      <c r="GOJ49" s="419"/>
      <c r="GOK49" s="419"/>
      <c r="GOL49" s="419"/>
      <c r="GOM49" s="419"/>
      <c r="GON49" s="419"/>
      <c r="GOO49" s="419"/>
      <c r="GOP49" s="419"/>
      <c r="GOQ49" s="419"/>
      <c r="GOR49" s="419"/>
      <c r="GOS49" s="419"/>
      <c r="GOT49" s="419"/>
      <c r="GOU49" s="419"/>
      <c r="GOV49" s="419"/>
      <c r="GOW49" s="419"/>
      <c r="GOX49" s="419"/>
      <c r="GOY49" s="419"/>
      <c r="GOZ49" s="419"/>
      <c r="GPA49" s="419"/>
      <c r="GPB49" s="419"/>
      <c r="GPC49" s="419"/>
      <c r="GPD49" s="419"/>
      <c r="GPE49" s="419"/>
      <c r="GPF49" s="419"/>
      <c r="GPG49" s="419"/>
      <c r="GPH49" s="419"/>
      <c r="GPI49" s="419"/>
      <c r="GPJ49" s="419"/>
      <c r="GPK49" s="419"/>
      <c r="GPL49" s="419"/>
      <c r="GPM49" s="419"/>
      <c r="GPN49" s="419"/>
      <c r="GPO49" s="419"/>
      <c r="GPP49" s="419"/>
      <c r="GPQ49" s="419"/>
      <c r="GPR49" s="419"/>
      <c r="GPS49" s="419"/>
      <c r="GPT49" s="419"/>
      <c r="GPU49" s="419"/>
      <c r="GPV49" s="419"/>
      <c r="GPW49" s="419"/>
      <c r="GPX49" s="419"/>
      <c r="GPY49" s="419"/>
      <c r="GPZ49" s="419"/>
      <c r="GQA49" s="419"/>
      <c r="GQB49" s="419"/>
      <c r="GQC49" s="419"/>
      <c r="GQD49" s="419"/>
      <c r="GQE49" s="419"/>
      <c r="GQF49" s="419"/>
      <c r="GQG49" s="419"/>
      <c r="GQH49" s="419"/>
      <c r="GQI49" s="419"/>
      <c r="GQJ49" s="419"/>
      <c r="GQK49" s="419"/>
      <c r="GQL49" s="419"/>
      <c r="GQM49" s="419"/>
      <c r="GQN49" s="419"/>
      <c r="GQO49" s="419"/>
      <c r="GQP49" s="419"/>
      <c r="GQQ49" s="419"/>
      <c r="GQR49" s="419"/>
      <c r="GQS49" s="419"/>
      <c r="GQT49" s="419"/>
      <c r="GQU49" s="419"/>
      <c r="GQV49" s="419"/>
      <c r="GQW49" s="419"/>
      <c r="GQX49" s="419"/>
      <c r="GQY49" s="419"/>
      <c r="GQZ49" s="419"/>
      <c r="GRA49" s="419"/>
      <c r="GRB49" s="419"/>
      <c r="GRC49" s="419"/>
      <c r="GRD49" s="419"/>
      <c r="GRE49" s="419"/>
      <c r="GRF49" s="419"/>
      <c r="GRG49" s="419"/>
      <c r="GRH49" s="419"/>
      <c r="GRI49" s="419"/>
      <c r="GRJ49" s="419"/>
      <c r="GRK49" s="419"/>
      <c r="GRL49" s="419"/>
      <c r="GRM49" s="419"/>
      <c r="GRN49" s="419"/>
      <c r="GRO49" s="419"/>
      <c r="GRP49" s="419"/>
      <c r="GRQ49" s="419"/>
      <c r="GRR49" s="419"/>
      <c r="GRS49" s="419"/>
      <c r="GRT49" s="419"/>
      <c r="GRU49" s="419"/>
      <c r="GRV49" s="419"/>
      <c r="GRW49" s="419"/>
      <c r="GRX49" s="419"/>
      <c r="GRY49" s="419"/>
      <c r="GRZ49" s="419"/>
      <c r="GSA49" s="419"/>
      <c r="GSB49" s="419"/>
      <c r="GSC49" s="419"/>
      <c r="GSD49" s="419"/>
      <c r="GSE49" s="419"/>
      <c r="GSF49" s="419"/>
      <c r="GSG49" s="419"/>
      <c r="GSH49" s="419"/>
      <c r="GSI49" s="419"/>
      <c r="GSJ49" s="419"/>
      <c r="GSK49" s="419"/>
      <c r="GSL49" s="419"/>
      <c r="GSM49" s="419"/>
      <c r="GSN49" s="419"/>
      <c r="GSO49" s="419"/>
      <c r="GSP49" s="419"/>
      <c r="GSQ49" s="419"/>
      <c r="GSR49" s="419"/>
      <c r="GSS49" s="419"/>
      <c r="GST49" s="419"/>
      <c r="GSU49" s="419"/>
      <c r="GSV49" s="419"/>
      <c r="GSW49" s="419"/>
      <c r="GSX49" s="419"/>
      <c r="GSY49" s="419"/>
      <c r="GSZ49" s="419"/>
      <c r="GTA49" s="419"/>
      <c r="GTB49" s="419"/>
      <c r="GTC49" s="419"/>
      <c r="GTD49" s="419"/>
      <c r="GTE49" s="419"/>
      <c r="GTF49" s="419"/>
      <c r="GTG49" s="419"/>
      <c r="GTH49" s="419"/>
      <c r="GTI49" s="419"/>
      <c r="GTJ49" s="419"/>
      <c r="GTK49" s="419"/>
      <c r="GTL49" s="419"/>
      <c r="GTM49" s="419"/>
      <c r="GTN49" s="419"/>
      <c r="GTO49" s="419"/>
      <c r="GTP49" s="419"/>
      <c r="GTQ49" s="419"/>
      <c r="GTR49" s="419"/>
      <c r="GTS49" s="419"/>
      <c r="GTT49" s="419"/>
      <c r="GTU49" s="419"/>
      <c r="GTV49" s="419"/>
      <c r="GTW49" s="419"/>
      <c r="GTX49" s="419"/>
      <c r="GTY49" s="419"/>
      <c r="GTZ49" s="419"/>
      <c r="GUA49" s="419"/>
      <c r="GUB49" s="419"/>
      <c r="GUC49" s="419"/>
      <c r="GUD49" s="419"/>
      <c r="GUE49" s="419"/>
      <c r="GUF49" s="419"/>
      <c r="GUG49" s="419"/>
      <c r="GUH49" s="419"/>
      <c r="GUI49" s="419"/>
      <c r="GUJ49" s="419"/>
      <c r="GUK49" s="419"/>
      <c r="GUL49" s="419"/>
      <c r="GUM49" s="419"/>
      <c r="GUN49" s="419"/>
      <c r="GUO49" s="419"/>
      <c r="GUP49" s="419"/>
      <c r="GUQ49" s="419"/>
      <c r="GUR49" s="419"/>
      <c r="GUS49" s="419"/>
      <c r="GUT49" s="419"/>
      <c r="GUU49" s="419"/>
      <c r="GUV49" s="419"/>
      <c r="GUW49" s="419"/>
      <c r="GUX49" s="419"/>
      <c r="GUY49" s="419"/>
      <c r="GUZ49" s="419"/>
      <c r="GVA49" s="419"/>
      <c r="GVB49" s="419"/>
      <c r="GVC49" s="419"/>
      <c r="GVD49" s="419"/>
      <c r="GVE49" s="419"/>
      <c r="GVF49" s="419"/>
      <c r="GVG49" s="419"/>
      <c r="GVH49" s="419"/>
      <c r="GVI49" s="419"/>
      <c r="GVJ49" s="419"/>
      <c r="GVK49" s="419"/>
      <c r="GVL49" s="419"/>
      <c r="GVM49" s="419"/>
      <c r="GVN49" s="419"/>
      <c r="GVO49" s="419"/>
      <c r="GVP49" s="419"/>
      <c r="GVQ49" s="419"/>
      <c r="GVR49" s="419"/>
      <c r="GVS49" s="419"/>
      <c r="GVT49" s="419"/>
      <c r="GVU49" s="419"/>
      <c r="GVV49" s="419"/>
      <c r="GVW49" s="419"/>
      <c r="GVX49" s="419"/>
      <c r="GVY49" s="419"/>
      <c r="GVZ49" s="419"/>
      <c r="GWA49" s="419"/>
      <c r="GWB49" s="419"/>
      <c r="GWC49" s="419"/>
      <c r="GWD49" s="419"/>
      <c r="GWE49" s="419"/>
      <c r="GWF49" s="419"/>
      <c r="GWG49" s="419"/>
      <c r="GWH49" s="419"/>
      <c r="GWI49" s="419"/>
      <c r="GWJ49" s="419"/>
      <c r="GWK49" s="419"/>
      <c r="GWL49" s="419"/>
      <c r="GWM49" s="419"/>
      <c r="GWN49" s="419"/>
      <c r="GWO49" s="419"/>
      <c r="GWP49" s="419"/>
      <c r="GWQ49" s="419"/>
      <c r="GWR49" s="419"/>
      <c r="GWS49" s="419"/>
      <c r="GWT49" s="419"/>
      <c r="GWU49" s="419"/>
      <c r="GWV49" s="419"/>
      <c r="GWW49" s="419"/>
      <c r="GWX49" s="419"/>
      <c r="GWY49" s="419"/>
      <c r="GWZ49" s="419"/>
      <c r="GXA49" s="419"/>
      <c r="GXB49" s="419"/>
      <c r="GXC49" s="419"/>
      <c r="GXD49" s="419"/>
      <c r="GXE49" s="419"/>
      <c r="GXF49" s="419"/>
      <c r="GXG49" s="419"/>
      <c r="GXH49" s="419"/>
      <c r="GXI49" s="419"/>
      <c r="GXJ49" s="419"/>
      <c r="GXK49" s="419"/>
      <c r="GXL49" s="419"/>
      <c r="GXM49" s="419"/>
      <c r="GXN49" s="419"/>
      <c r="GXO49" s="419"/>
      <c r="GXP49" s="419"/>
      <c r="GXQ49" s="419"/>
      <c r="GXR49" s="419"/>
      <c r="GXS49" s="419"/>
      <c r="GXT49" s="419"/>
      <c r="GXU49" s="419"/>
      <c r="GXV49" s="419"/>
      <c r="GXW49" s="419"/>
      <c r="GXX49" s="419"/>
      <c r="GXY49" s="419"/>
      <c r="GXZ49" s="419"/>
      <c r="GYA49" s="419"/>
      <c r="GYB49" s="419"/>
      <c r="GYC49" s="419"/>
      <c r="GYD49" s="419"/>
      <c r="GYE49" s="419"/>
      <c r="GYF49" s="419"/>
      <c r="GYG49" s="419"/>
      <c r="GYH49" s="419"/>
      <c r="GYI49" s="419"/>
      <c r="GYJ49" s="419"/>
      <c r="GYK49" s="419"/>
      <c r="GYL49" s="419"/>
      <c r="GYM49" s="419"/>
      <c r="GYN49" s="419"/>
      <c r="GYO49" s="419"/>
      <c r="GYP49" s="419"/>
      <c r="GYQ49" s="419"/>
      <c r="GYR49" s="419"/>
      <c r="GYS49" s="419"/>
      <c r="GYT49" s="419"/>
      <c r="GYU49" s="419"/>
      <c r="GYV49" s="419"/>
      <c r="GYW49" s="419"/>
      <c r="GYX49" s="419"/>
      <c r="GYY49" s="419"/>
      <c r="GYZ49" s="419"/>
      <c r="GZA49" s="419"/>
      <c r="GZB49" s="419"/>
      <c r="GZC49" s="419"/>
      <c r="GZD49" s="419"/>
      <c r="GZE49" s="419"/>
      <c r="GZF49" s="419"/>
      <c r="GZG49" s="419"/>
      <c r="GZH49" s="419"/>
      <c r="GZI49" s="419"/>
      <c r="GZJ49" s="419"/>
      <c r="GZK49" s="419"/>
      <c r="GZL49" s="419"/>
      <c r="GZM49" s="419"/>
      <c r="GZN49" s="419"/>
      <c r="GZO49" s="419"/>
      <c r="GZP49" s="419"/>
      <c r="GZQ49" s="419"/>
      <c r="GZR49" s="419"/>
      <c r="GZS49" s="419"/>
      <c r="GZT49" s="419"/>
      <c r="GZU49" s="419"/>
      <c r="GZV49" s="419"/>
      <c r="GZW49" s="419"/>
      <c r="GZX49" s="419"/>
      <c r="GZY49" s="419"/>
      <c r="GZZ49" s="419"/>
      <c r="HAA49" s="419"/>
      <c r="HAB49" s="419"/>
      <c r="HAC49" s="419"/>
      <c r="HAD49" s="419"/>
      <c r="HAE49" s="419"/>
      <c r="HAF49" s="419"/>
      <c r="HAG49" s="419"/>
      <c r="HAH49" s="419"/>
      <c r="HAI49" s="419"/>
      <c r="HAJ49" s="419"/>
      <c r="HAK49" s="419"/>
      <c r="HAL49" s="419"/>
      <c r="HAM49" s="419"/>
      <c r="HAN49" s="419"/>
      <c r="HAO49" s="419"/>
      <c r="HAP49" s="419"/>
      <c r="HAQ49" s="419"/>
      <c r="HAR49" s="419"/>
      <c r="HAS49" s="419"/>
      <c r="HAT49" s="419"/>
      <c r="HAU49" s="419"/>
      <c r="HAV49" s="419"/>
      <c r="HAW49" s="419"/>
      <c r="HAX49" s="419"/>
      <c r="HAY49" s="419"/>
      <c r="HAZ49" s="419"/>
      <c r="HBA49" s="419"/>
      <c r="HBB49" s="419"/>
      <c r="HBC49" s="419"/>
      <c r="HBD49" s="419"/>
      <c r="HBE49" s="419"/>
      <c r="HBF49" s="419"/>
      <c r="HBG49" s="419"/>
      <c r="HBH49" s="419"/>
      <c r="HBI49" s="419"/>
      <c r="HBJ49" s="419"/>
      <c r="HBK49" s="419"/>
      <c r="HBL49" s="419"/>
      <c r="HBM49" s="419"/>
      <c r="HBN49" s="419"/>
      <c r="HBO49" s="419"/>
      <c r="HBP49" s="419"/>
      <c r="HBQ49" s="419"/>
      <c r="HBR49" s="419"/>
      <c r="HBS49" s="419"/>
      <c r="HBT49" s="419"/>
      <c r="HBU49" s="419"/>
      <c r="HBV49" s="419"/>
      <c r="HBW49" s="419"/>
      <c r="HBX49" s="419"/>
      <c r="HBY49" s="419"/>
      <c r="HBZ49" s="419"/>
      <c r="HCA49" s="419"/>
      <c r="HCB49" s="419"/>
      <c r="HCC49" s="419"/>
      <c r="HCD49" s="419"/>
      <c r="HCE49" s="419"/>
      <c r="HCF49" s="419"/>
      <c r="HCG49" s="419"/>
      <c r="HCH49" s="419"/>
      <c r="HCI49" s="419"/>
      <c r="HCJ49" s="419"/>
      <c r="HCK49" s="419"/>
      <c r="HCL49" s="419"/>
      <c r="HCM49" s="419"/>
      <c r="HCN49" s="419"/>
      <c r="HCO49" s="419"/>
      <c r="HCP49" s="419"/>
      <c r="HCQ49" s="419"/>
      <c r="HCR49" s="419"/>
      <c r="HCS49" s="419"/>
      <c r="HCT49" s="419"/>
      <c r="HCU49" s="419"/>
      <c r="HCV49" s="419"/>
      <c r="HCW49" s="419"/>
      <c r="HCX49" s="419"/>
      <c r="HCY49" s="419"/>
      <c r="HCZ49" s="419"/>
      <c r="HDA49" s="419"/>
      <c r="HDB49" s="419"/>
      <c r="HDC49" s="419"/>
      <c r="HDD49" s="419"/>
      <c r="HDE49" s="419"/>
      <c r="HDF49" s="419"/>
      <c r="HDG49" s="419"/>
      <c r="HDH49" s="419"/>
      <c r="HDI49" s="419"/>
      <c r="HDJ49" s="419"/>
      <c r="HDK49" s="419"/>
      <c r="HDL49" s="419"/>
      <c r="HDM49" s="419"/>
      <c r="HDN49" s="419"/>
      <c r="HDO49" s="419"/>
      <c r="HDP49" s="419"/>
      <c r="HDQ49" s="419"/>
      <c r="HDR49" s="419"/>
      <c r="HDS49" s="419"/>
      <c r="HDT49" s="419"/>
      <c r="HDU49" s="419"/>
      <c r="HDV49" s="419"/>
      <c r="HDW49" s="419"/>
      <c r="HDX49" s="419"/>
      <c r="HDY49" s="419"/>
      <c r="HDZ49" s="419"/>
      <c r="HEA49" s="419"/>
      <c r="HEB49" s="419"/>
      <c r="HEC49" s="419"/>
      <c r="HED49" s="419"/>
      <c r="HEE49" s="419"/>
      <c r="HEF49" s="419"/>
      <c r="HEG49" s="419"/>
      <c r="HEH49" s="419"/>
      <c r="HEI49" s="419"/>
      <c r="HEJ49" s="419"/>
      <c r="HEK49" s="419"/>
      <c r="HEL49" s="419"/>
      <c r="HEM49" s="419"/>
      <c r="HEN49" s="419"/>
      <c r="HEO49" s="419"/>
      <c r="HEP49" s="419"/>
      <c r="HEQ49" s="419"/>
      <c r="HER49" s="419"/>
      <c r="HES49" s="419"/>
      <c r="HET49" s="419"/>
      <c r="HEU49" s="419"/>
      <c r="HEV49" s="419"/>
      <c r="HEW49" s="419"/>
      <c r="HEX49" s="419"/>
      <c r="HEY49" s="419"/>
      <c r="HEZ49" s="419"/>
      <c r="HFA49" s="419"/>
      <c r="HFB49" s="419"/>
      <c r="HFC49" s="419"/>
      <c r="HFD49" s="419"/>
      <c r="HFE49" s="419"/>
      <c r="HFF49" s="419"/>
      <c r="HFG49" s="419"/>
      <c r="HFH49" s="419"/>
      <c r="HFI49" s="419"/>
      <c r="HFJ49" s="419"/>
      <c r="HFK49" s="419"/>
      <c r="HFL49" s="419"/>
      <c r="HFM49" s="419"/>
      <c r="HFN49" s="419"/>
      <c r="HFO49" s="419"/>
      <c r="HFP49" s="419"/>
      <c r="HFQ49" s="419"/>
      <c r="HFR49" s="419"/>
      <c r="HFS49" s="419"/>
      <c r="HFT49" s="419"/>
      <c r="HFU49" s="419"/>
      <c r="HFV49" s="419"/>
      <c r="HFW49" s="419"/>
      <c r="HFX49" s="419"/>
      <c r="HFY49" s="419"/>
      <c r="HFZ49" s="419"/>
      <c r="HGA49" s="419"/>
      <c r="HGB49" s="419"/>
      <c r="HGC49" s="419"/>
      <c r="HGD49" s="419"/>
      <c r="HGE49" s="419"/>
      <c r="HGF49" s="419"/>
      <c r="HGG49" s="419"/>
      <c r="HGH49" s="419"/>
      <c r="HGI49" s="419"/>
      <c r="HGJ49" s="419"/>
      <c r="HGK49" s="419"/>
      <c r="HGL49" s="419"/>
      <c r="HGM49" s="419"/>
      <c r="HGN49" s="419"/>
      <c r="HGO49" s="419"/>
      <c r="HGP49" s="419"/>
      <c r="HGQ49" s="419"/>
      <c r="HGR49" s="419"/>
      <c r="HGS49" s="419"/>
      <c r="HGT49" s="419"/>
      <c r="HGU49" s="419"/>
      <c r="HGV49" s="419"/>
      <c r="HGW49" s="419"/>
      <c r="HGX49" s="419"/>
      <c r="HGY49" s="419"/>
      <c r="HGZ49" s="419"/>
      <c r="HHA49" s="419"/>
      <c r="HHB49" s="419"/>
      <c r="HHC49" s="419"/>
      <c r="HHD49" s="419"/>
      <c r="HHE49" s="419"/>
      <c r="HHF49" s="419"/>
      <c r="HHG49" s="419"/>
      <c r="HHH49" s="419"/>
      <c r="HHI49" s="419"/>
      <c r="HHJ49" s="419"/>
      <c r="HHK49" s="419"/>
      <c r="HHL49" s="419"/>
      <c r="HHM49" s="419"/>
      <c r="HHN49" s="419"/>
      <c r="HHO49" s="419"/>
      <c r="HHP49" s="419"/>
      <c r="HHQ49" s="419"/>
      <c r="HHR49" s="419"/>
      <c r="HHS49" s="419"/>
      <c r="HHT49" s="419"/>
      <c r="HHU49" s="419"/>
      <c r="HHV49" s="419"/>
      <c r="HHW49" s="419"/>
      <c r="HHX49" s="419"/>
      <c r="HHY49" s="419"/>
      <c r="HHZ49" s="419"/>
      <c r="HIA49" s="419"/>
      <c r="HIB49" s="419"/>
      <c r="HIC49" s="419"/>
      <c r="HID49" s="419"/>
      <c r="HIE49" s="419"/>
      <c r="HIF49" s="419"/>
      <c r="HIG49" s="419"/>
      <c r="HIH49" s="419"/>
      <c r="HII49" s="419"/>
      <c r="HIJ49" s="419"/>
      <c r="HIK49" s="419"/>
      <c r="HIL49" s="419"/>
      <c r="HIM49" s="419"/>
      <c r="HIN49" s="419"/>
      <c r="HIO49" s="419"/>
      <c r="HIP49" s="419"/>
      <c r="HIQ49" s="419"/>
      <c r="HIR49" s="419"/>
      <c r="HIS49" s="419"/>
      <c r="HIT49" s="419"/>
      <c r="HIU49" s="419"/>
      <c r="HIV49" s="419"/>
      <c r="HIW49" s="419"/>
      <c r="HIX49" s="419"/>
      <c r="HIY49" s="419"/>
      <c r="HIZ49" s="419"/>
      <c r="HJA49" s="419"/>
      <c r="HJB49" s="419"/>
      <c r="HJC49" s="419"/>
      <c r="HJD49" s="419"/>
      <c r="HJE49" s="419"/>
      <c r="HJF49" s="419"/>
      <c r="HJG49" s="419"/>
      <c r="HJH49" s="419"/>
      <c r="HJI49" s="419"/>
      <c r="HJJ49" s="419"/>
      <c r="HJK49" s="419"/>
      <c r="HJL49" s="419"/>
      <c r="HJM49" s="419"/>
      <c r="HJN49" s="419"/>
      <c r="HJO49" s="419"/>
      <c r="HJP49" s="419"/>
      <c r="HJQ49" s="419"/>
      <c r="HJR49" s="419"/>
      <c r="HJS49" s="419"/>
      <c r="HJT49" s="419"/>
      <c r="HJU49" s="419"/>
      <c r="HJV49" s="419"/>
      <c r="HJW49" s="419"/>
      <c r="HJX49" s="419"/>
      <c r="HJY49" s="419"/>
      <c r="HJZ49" s="419"/>
      <c r="HKA49" s="419"/>
      <c r="HKB49" s="419"/>
      <c r="HKC49" s="419"/>
      <c r="HKD49" s="419"/>
      <c r="HKE49" s="419"/>
      <c r="HKF49" s="419"/>
      <c r="HKG49" s="419"/>
      <c r="HKH49" s="419"/>
      <c r="HKI49" s="419"/>
      <c r="HKJ49" s="419"/>
      <c r="HKK49" s="419"/>
      <c r="HKL49" s="419"/>
      <c r="HKM49" s="419"/>
      <c r="HKN49" s="419"/>
      <c r="HKO49" s="419"/>
      <c r="HKP49" s="419"/>
      <c r="HKQ49" s="419"/>
      <c r="HKR49" s="419"/>
      <c r="HKS49" s="419"/>
      <c r="HKT49" s="419"/>
      <c r="HKU49" s="419"/>
      <c r="HKV49" s="419"/>
      <c r="HKW49" s="419"/>
      <c r="HKX49" s="419"/>
      <c r="HKY49" s="419"/>
      <c r="HKZ49" s="419"/>
      <c r="HLA49" s="419"/>
      <c r="HLB49" s="419"/>
      <c r="HLC49" s="419"/>
      <c r="HLD49" s="419"/>
      <c r="HLE49" s="419"/>
      <c r="HLF49" s="419"/>
      <c r="HLG49" s="419"/>
      <c r="HLH49" s="419"/>
      <c r="HLI49" s="419"/>
      <c r="HLJ49" s="419"/>
      <c r="HLK49" s="419"/>
      <c r="HLL49" s="419"/>
      <c r="HLM49" s="419"/>
      <c r="HLN49" s="419"/>
      <c r="HLO49" s="419"/>
      <c r="HLP49" s="419"/>
      <c r="HLQ49" s="419"/>
      <c r="HLR49" s="419"/>
      <c r="HLS49" s="419"/>
      <c r="HLT49" s="419"/>
      <c r="HLU49" s="419"/>
      <c r="HLV49" s="419"/>
      <c r="HLW49" s="419"/>
      <c r="HLX49" s="419"/>
      <c r="HLY49" s="419"/>
      <c r="HLZ49" s="419"/>
      <c r="HMA49" s="419"/>
      <c r="HMB49" s="419"/>
      <c r="HMC49" s="419"/>
      <c r="HMD49" s="419"/>
      <c r="HME49" s="419"/>
      <c r="HMF49" s="419"/>
      <c r="HMG49" s="419"/>
      <c r="HMH49" s="419"/>
      <c r="HMI49" s="419"/>
      <c r="HMJ49" s="419"/>
      <c r="HMK49" s="419"/>
      <c r="HML49" s="419"/>
      <c r="HMM49" s="419"/>
      <c r="HMN49" s="419"/>
      <c r="HMO49" s="419"/>
      <c r="HMP49" s="419"/>
      <c r="HMQ49" s="419"/>
      <c r="HMR49" s="419"/>
      <c r="HMS49" s="419"/>
      <c r="HMT49" s="419"/>
      <c r="HMU49" s="419"/>
      <c r="HMV49" s="419"/>
      <c r="HMW49" s="419"/>
      <c r="HMX49" s="419"/>
      <c r="HMY49" s="419"/>
      <c r="HMZ49" s="419"/>
      <c r="HNA49" s="419"/>
      <c r="HNB49" s="419"/>
      <c r="HNC49" s="419"/>
      <c r="HND49" s="419"/>
      <c r="HNE49" s="419"/>
      <c r="HNF49" s="419"/>
      <c r="HNG49" s="419"/>
      <c r="HNH49" s="419"/>
      <c r="HNI49" s="419"/>
      <c r="HNJ49" s="419"/>
      <c r="HNK49" s="419"/>
      <c r="HNL49" s="419"/>
      <c r="HNM49" s="419"/>
      <c r="HNN49" s="419"/>
      <c r="HNO49" s="419"/>
      <c r="HNP49" s="419"/>
      <c r="HNQ49" s="419"/>
      <c r="HNR49" s="419"/>
      <c r="HNS49" s="419"/>
      <c r="HNT49" s="419"/>
      <c r="HNU49" s="419"/>
      <c r="HNV49" s="419"/>
      <c r="HNW49" s="419"/>
      <c r="HNX49" s="419"/>
      <c r="HNY49" s="419"/>
      <c r="HNZ49" s="419"/>
      <c r="HOA49" s="419"/>
      <c r="HOB49" s="419"/>
      <c r="HOC49" s="419"/>
      <c r="HOD49" s="419"/>
      <c r="HOE49" s="419"/>
      <c r="HOF49" s="419"/>
      <c r="HOG49" s="419"/>
      <c r="HOH49" s="419"/>
      <c r="HOI49" s="419"/>
      <c r="HOJ49" s="419"/>
      <c r="HOK49" s="419"/>
      <c r="HOL49" s="419"/>
      <c r="HOM49" s="419"/>
      <c r="HON49" s="419"/>
      <c r="HOO49" s="419"/>
      <c r="HOP49" s="419"/>
      <c r="HOQ49" s="419"/>
      <c r="HOR49" s="419"/>
      <c r="HOS49" s="419"/>
      <c r="HOT49" s="419"/>
      <c r="HOU49" s="419"/>
      <c r="HOV49" s="419"/>
      <c r="HOW49" s="419"/>
      <c r="HOX49" s="419"/>
      <c r="HOY49" s="419"/>
      <c r="HOZ49" s="419"/>
      <c r="HPA49" s="419"/>
      <c r="HPB49" s="419"/>
      <c r="HPC49" s="419"/>
      <c r="HPD49" s="419"/>
      <c r="HPE49" s="419"/>
      <c r="HPF49" s="419"/>
      <c r="HPG49" s="419"/>
      <c r="HPH49" s="419"/>
      <c r="HPI49" s="419"/>
      <c r="HPJ49" s="419"/>
      <c r="HPK49" s="419"/>
      <c r="HPL49" s="419"/>
      <c r="HPM49" s="419"/>
      <c r="HPN49" s="419"/>
      <c r="HPO49" s="419"/>
      <c r="HPP49" s="419"/>
      <c r="HPQ49" s="419"/>
      <c r="HPR49" s="419"/>
      <c r="HPS49" s="419"/>
      <c r="HPT49" s="419"/>
      <c r="HPU49" s="419"/>
      <c r="HPV49" s="419"/>
      <c r="HPW49" s="419"/>
      <c r="HPX49" s="419"/>
      <c r="HPY49" s="419"/>
      <c r="HPZ49" s="419"/>
      <c r="HQA49" s="419"/>
      <c r="HQB49" s="419"/>
      <c r="HQC49" s="419"/>
      <c r="HQD49" s="419"/>
      <c r="HQE49" s="419"/>
      <c r="HQF49" s="419"/>
      <c r="HQG49" s="419"/>
      <c r="HQH49" s="419"/>
      <c r="HQI49" s="419"/>
      <c r="HQJ49" s="419"/>
      <c r="HQK49" s="419"/>
      <c r="HQL49" s="419"/>
      <c r="HQM49" s="419"/>
      <c r="HQN49" s="419"/>
      <c r="HQO49" s="419"/>
      <c r="HQP49" s="419"/>
      <c r="HQQ49" s="419"/>
      <c r="HQR49" s="419"/>
      <c r="HQS49" s="419"/>
      <c r="HQT49" s="419"/>
      <c r="HQU49" s="419"/>
      <c r="HQV49" s="419"/>
      <c r="HQW49" s="419"/>
      <c r="HQX49" s="419"/>
      <c r="HQY49" s="419"/>
      <c r="HQZ49" s="419"/>
      <c r="HRA49" s="419"/>
      <c r="HRB49" s="419"/>
      <c r="HRC49" s="419"/>
      <c r="HRD49" s="419"/>
      <c r="HRE49" s="419"/>
      <c r="HRF49" s="419"/>
      <c r="HRG49" s="419"/>
      <c r="HRH49" s="419"/>
      <c r="HRI49" s="419"/>
      <c r="HRJ49" s="419"/>
      <c r="HRK49" s="419"/>
      <c r="HRL49" s="419"/>
      <c r="HRM49" s="419"/>
      <c r="HRN49" s="419"/>
      <c r="HRO49" s="419"/>
      <c r="HRP49" s="419"/>
      <c r="HRQ49" s="419"/>
      <c r="HRR49" s="419"/>
      <c r="HRS49" s="419"/>
      <c r="HRT49" s="419"/>
      <c r="HRU49" s="419"/>
      <c r="HRV49" s="419"/>
      <c r="HRW49" s="419"/>
      <c r="HRX49" s="419"/>
      <c r="HRY49" s="419"/>
      <c r="HRZ49" s="419"/>
      <c r="HSA49" s="419"/>
      <c r="HSB49" s="419"/>
      <c r="HSC49" s="419"/>
      <c r="HSD49" s="419"/>
      <c r="HSE49" s="419"/>
      <c r="HSF49" s="419"/>
      <c r="HSG49" s="419"/>
      <c r="HSH49" s="419"/>
      <c r="HSI49" s="419"/>
      <c r="HSJ49" s="419"/>
      <c r="HSK49" s="419"/>
      <c r="HSL49" s="419"/>
      <c r="HSM49" s="419"/>
      <c r="HSN49" s="419"/>
      <c r="HSO49" s="419"/>
      <c r="HSP49" s="419"/>
      <c r="HSQ49" s="419"/>
      <c r="HSR49" s="419"/>
      <c r="HSS49" s="419"/>
      <c r="HST49" s="419"/>
      <c r="HSU49" s="419"/>
      <c r="HSV49" s="419"/>
      <c r="HSW49" s="419"/>
      <c r="HSX49" s="419"/>
      <c r="HSY49" s="419"/>
      <c r="HSZ49" s="419"/>
      <c r="HTA49" s="419"/>
      <c r="HTB49" s="419"/>
      <c r="HTC49" s="419"/>
      <c r="HTD49" s="419"/>
      <c r="HTE49" s="419"/>
      <c r="HTF49" s="419"/>
      <c r="HTG49" s="419"/>
      <c r="HTH49" s="419"/>
      <c r="HTI49" s="419"/>
      <c r="HTJ49" s="419"/>
      <c r="HTK49" s="419"/>
      <c r="HTL49" s="419"/>
      <c r="HTM49" s="419"/>
      <c r="HTN49" s="419"/>
      <c r="HTO49" s="419"/>
      <c r="HTP49" s="419"/>
      <c r="HTQ49" s="419"/>
      <c r="HTR49" s="419"/>
      <c r="HTS49" s="419"/>
      <c r="HTT49" s="419"/>
      <c r="HTU49" s="419"/>
      <c r="HTV49" s="419"/>
      <c r="HTW49" s="419"/>
      <c r="HTX49" s="419"/>
      <c r="HTY49" s="419"/>
      <c r="HTZ49" s="419"/>
      <c r="HUA49" s="419"/>
      <c r="HUB49" s="419"/>
      <c r="HUC49" s="419"/>
      <c r="HUD49" s="419"/>
      <c r="HUE49" s="419"/>
      <c r="HUF49" s="419"/>
      <c r="HUG49" s="419"/>
      <c r="HUH49" s="419"/>
      <c r="HUI49" s="419"/>
      <c r="HUJ49" s="419"/>
      <c r="HUK49" s="419"/>
      <c r="HUL49" s="419"/>
      <c r="HUM49" s="419"/>
      <c r="HUN49" s="419"/>
      <c r="HUO49" s="419"/>
      <c r="HUP49" s="419"/>
      <c r="HUQ49" s="419"/>
      <c r="HUR49" s="419"/>
      <c r="HUS49" s="419"/>
      <c r="HUT49" s="419"/>
      <c r="HUU49" s="419"/>
      <c r="HUV49" s="419"/>
      <c r="HUW49" s="419"/>
      <c r="HUX49" s="419"/>
      <c r="HUY49" s="419"/>
      <c r="HUZ49" s="419"/>
      <c r="HVA49" s="419"/>
      <c r="HVB49" s="419"/>
      <c r="HVC49" s="419"/>
      <c r="HVD49" s="419"/>
      <c r="HVE49" s="419"/>
      <c r="HVF49" s="419"/>
      <c r="HVG49" s="419"/>
      <c r="HVH49" s="419"/>
      <c r="HVI49" s="419"/>
      <c r="HVJ49" s="419"/>
      <c r="HVK49" s="419"/>
      <c r="HVL49" s="419"/>
      <c r="HVM49" s="419"/>
      <c r="HVN49" s="419"/>
      <c r="HVO49" s="419"/>
      <c r="HVP49" s="419"/>
      <c r="HVQ49" s="419"/>
      <c r="HVR49" s="419"/>
      <c r="HVS49" s="419"/>
      <c r="HVT49" s="419"/>
      <c r="HVU49" s="419"/>
      <c r="HVV49" s="419"/>
      <c r="HVW49" s="419"/>
      <c r="HVX49" s="419"/>
      <c r="HVY49" s="419"/>
      <c r="HVZ49" s="419"/>
      <c r="HWA49" s="419"/>
      <c r="HWB49" s="419"/>
      <c r="HWC49" s="419"/>
      <c r="HWD49" s="419"/>
      <c r="HWE49" s="419"/>
      <c r="HWF49" s="419"/>
      <c r="HWG49" s="419"/>
      <c r="HWH49" s="419"/>
      <c r="HWI49" s="419"/>
      <c r="HWJ49" s="419"/>
      <c r="HWK49" s="419"/>
      <c r="HWL49" s="419"/>
      <c r="HWM49" s="419"/>
      <c r="HWN49" s="419"/>
      <c r="HWO49" s="419"/>
      <c r="HWP49" s="419"/>
      <c r="HWQ49" s="419"/>
      <c r="HWR49" s="419"/>
      <c r="HWS49" s="419"/>
      <c r="HWT49" s="419"/>
      <c r="HWU49" s="419"/>
      <c r="HWV49" s="419"/>
      <c r="HWW49" s="419"/>
      <c r="HWX49" s="419"/>
      <c r="HWY49" s="419"/>
      <c r="HWZ49" s="419"/>
      <c r="HXA49" s="419"/>
      <c r="HXB49" s="419"/>
      <c r="HXC49" s="419"/>
      <c r="HXD49" s="419"/>
      <c r="HXE49" s="419"/>
      <c r="HXF49" s="419"/>
      <c r="HXG49" s="419"/>
      <c r="HXH49" s="419"/>
      <c r="HXI49" s="419"/>
      <c r="HXJ49" s="419"/>
      <c r="HXK49" s="419"/>
      <c r="HXL49" s="419"/>
      <c r="HXM49" s="419"/>
      <c r="HXN49" s="419"/>
      <c r="HXO49" s="419"/>
      <c r="HXP49" s="419"/>
      <c r="HXQ49" s="419"/>
      <c r="HXR49" s="419"/>
      <c r="HXS49" s="419"/>
      <c r="HXT49" s="419"/>
      <c r="HXU49" s="419"/>
      <c r="HXV49" s="419"/>
      <c r="HXW49" s="419"/>
      <c r="HXX49" s="419"/>
      <c r="HXY49" s="419"/>
      <c r="HXZ49" s="419"/>
      <c r="HYA49" s="419"/>
      <c r="HYB49" s="419"/>
      <c r="HYC49" s="419"/>
      <c r="HYD49" s="419"/>
      <c r="HYE49" s="419"/>
      <c r="HYF49" s="419"/>
      <c r="HYG49" s="419"/>
      <c r="HYH49" s="419"/>
      <c r="HYI49" s="419"/>
      <c r="HYJ49" s="419"/>
      <c r="HYK49" s="419"/>
      <c r="HYL49" s="419"/>
      <c r="HYM49" s="419"/>
      <c r="HYN49" s="419"/>
      <c r="HYO49" s="419"/>
      <c r="HYP49" s="419"/>
      <c r="HYQ49" s="419"/>
      <c r="HYR49" s="419"/>
      <c r="HYS49" s="419"/>
      <c r="HYT49" s="419"/>
      <c r="HYU49" s="419"/>
      <c r="HYV49" s="419"/>
      <c r="HYW49" s="419"/>
      <c r="HYX49" s="419"/>
      <c r="HYY49" s="419"/>
      <c r="HYZ49" s="419"/>
      <c r="HZA49" s="419"/>
      <c r="HZB49" s="419"/>
      <c r="HZC49" s="419"/>
      <c r="HZD49" s="419"/>
      <c r="HZE49" s="419"/>
      <c r="HZF49" s="419"/>
      <c r="HZG49" s="419"/>
      <c r="HZH49" s="419"/>
      <c r="HZI49" s="419"/>
      <c r="HZJ49" s="419"/>
      <c r="HZK49" s="419"/>
      <c r="HZL49" s="419"/>
      <c r="HZM49" s="419"/>
      <c r="HZN49" s="419"/>
      <c r="HZO49" s="419"/>
      <c r="HZP49" s="419"/>
      <c r="HZQ49" s="419"/>
      <c r="HZR49" s="419"/>
      <c r="HZS49" s="419"/>
      <c r="HZT49" s="419"/>
      <c r="HZU49" s="419"/>
      <c r="HZV49" s="419"/>
      <c r="HZW49" s="419"/>
      <c r="HZX49" s="419"/>
      <c r="HZY49" s="419"/>
      <c r="HZZ49" s="419"/>
      <c r="IAA49" s="419"/>
      <c r="IAB49" s="419"/>
      <c r="IAC49" s="419"/>
      <c r="IAD49" s="419"/>
      <c r="IAE49" s="419"/>
      <c r="IAF49" s="419"/>
      <c r="IAG49" s="419"/>
      <c r="IAH49" s="419"/>
      <c r="IAI49" s="419"/>
      <c r="IAJ49" s="419"/>
      <c r="IAK49" s="419"/>
      <c r="IAL49" s="419"/>
      <c r="IAM49" s="419"/>
      <c r="IAN49" s="419"/>
      <c r="IAO49" s="419"/>
      <c r="IAP49" s="419"/>
      <c r="IAQ49" s="419"/>
      <c r="IAR49" s="419"/>
      <c r="IAS49" s="419"/>
      <c r="IAT49" s="419"/>
      <c r="IAU49" s="419"/>
      <c r="IAV49" s="419"/>
      <c r="IAW49" s="419"/>
      <c r="IAX49" s="419"/>
      <c r="IAY49" s="419"/>
      <c r="IAZ49" s="419"/>
      <c r="IBA49" s="419"/>
      <c r="IBB49" s="419"/>
      <c r="IBC49" s="419"/>
      <c r="IBD49" s="419"/>
      <c r="IBE49" s="419"/>
      <c r="IBF49" s="419"/>
      <c r="IBG49" s="419"/>
      <c r="IBH49" s="419"/>
      <c r="IBI49" s="419"/>
      <c r="IBJ49" s="419"/>
      <c r="IBK49" s="419"/>
      <c r="IBL49" s="419"/>
      <c r="IBM49" s="419"/>
      <c r="IBN49" s="419"/>
      <c r="IBO49" s="419"/>
      <c r="IBP49" s="419"/>
      <c r="IBQ49" s="419"/>
      <c r="IBR49" s="419"/>
      <c r="IBS49" s="419"/>
      <c r="IBT49" s="419"/>
      <c r="IBU49" s="419"/>
      <c r="IBV49" s="419"/>
      <c r="IBW49" s="419"/>
      <c r="IBX49" s="419"/>
      <c r="IBY49" s="419"/>
      <c r="IBZ49" s="419"/>
      <c r="ICA49" s="419"/>
      <c r="ICB49" s="419"/>
      <c r="ICC49" s="419"/>
      <c r="ICD49" s="419"/>
      <c r="ICE49" s="419"/>
      <c r="ICF49" s="419"/>
      <c r="ICG49" s="419"/>
      <c r="ICH49" s="419"/>
      <c r="ICI49" s="419"/>
      <c r="ICJ49" s="419"/>
      <c r="ICK49" s="419"/>
      <c r="ICL49" s="419"/>
      <c r="ICM49" s="419"/>
      <c r="ICN49" s="419"/>
      <c r="ICO49" s="419"/>
      <c r="ICP49" s="419"/>
      <c r="ICQ49" s="419"/>
      <c r="ICR49" s="419"/>
      <c r="ICS49" s="419"/>
      <c r="ICT49" s="419"/>
      <c r="ICU49" s="419"/>
      <c r="ICV49" s="419"/>
      <c r="ICW49" s="419"/>
      <c r="ICX49" s="419"/>
      <c r="ICY49" s="419"/>
      <c r="ICZ49" s="419"/>
      <c r="IDA49" s="419"/>
      <c r="IDB49" s="419"/>
      <c r="IDC49" s="419"/>
      <c r="IDD49" s="419"/>
      <c r="IDE49" s="419"/>
      <c r="IDF49" s="419"/>
      <c r="IDG49" s="419"/>
      <c r="IDH49" s="419"/>
      <c r="IDI49" s="419"/>
      <c r="IDJ49" s="419"/>
      <c r="IDK49" s="419"/>
      <c r="IDL49" s="419"/>
      <c r="IDM49" s="419"/>
      <c r="IDN49" s="419"/>
      <c r="IDO49" s="419"/>
      <c r="IDP49" s="419"/>
      <c r="IDQ49" s="419"/>
      <c r="IDR49" s="419"/>
      <c r="IDS49" s="419"/>
      <c r="IDT49" s="419"/>
      <c r="IDU49" s="419"/>
      <c r="IDV49" s="419"/>
      <c r="IDW49" s="419"/>
      <c r="IDX49" s="419"/>
      <c r="IDY49" s="419"/>
      <c r="IDZ49" s="419"/>
      <c r="IEA49" s="419"/>
      <c r="IEB49" s="419"/>
      <c r="IEC49" s="419"/>
      <c r="IED49" s="419"/>
      <c r="IEE49" s="419"/>
      <c r="IEF49" s="419"/>
      <c r="IEG49" s="419"/>
      <c r="IEH49" s="419"/>
      <c r="IEI49" s="419"/>
      <c r="IEJ49" s="419"/>
      <c r="IEK49" s="419"/>
      <c r="IEL49" s="419"/>
      <c r="IEM49" s="419"/>
      <c r="IEN49" s="419"/>
      <c r="IEO49" s="419"/>
      <c r="IEP49" s="419"/>
      <c r="IEQ49" s="419"/>
      <c r="IER49" s="419"/>
      <c r="IES49" s="419"/>
      <c r="IET49" s="419"/>
      <c r="IEU49" s="419"/>
      <c r="IEV49" s="419"/>
      <c r="IEW49" s="419"/>
      <c r="IEX49" s="419"/>
      <c r="IEY49" s="419"/>
      <c r="IEZ49" s="419"/>
      <c r="IFA49" s="419"/>
      <c r="IFB49" s="419"/>
      <c r="IFC49" s="419"/>
      <c r="IFD49" s="419"/>
      <c r="IFE49" s="419"/>
      <c r="IFF49" s="419"/>
      <c r="IFG49" s="419"/>
      <c r="IFH49" s="419"/>
      <c r="IFI49" s="419"/>
      <c r="IFJ49" s="419"/>
      <c r="IFK49" s="419"/>
      <c r="IFL49" s="419"/>
      <c r="IFM49" s="419"/>
      <c r="IFN49" s="419"/>
      <c r="IFO49" s="419"/>
      <c r="IFP49" s="419"/>
      <c r="IFQ49" s="419"/>
      <c r="IFR49" s="419"/>
      <c r="IFS49" s="419"/>
      <c r="IFT49" s="419"/>
      <c r="IFU49" s="419"/>
      <c r="IFV49" s="419"/>
      <c r="IFW49" s="419"/>
      <c r="IFX49" s="419"/>
      <c r="IFY49" s="419"/>
      <c r="IFZ49" s="419"/>
      <c r="IGA49" s="419"/>
      <c r="IGB49" s="419"/>
      <c r="IGC49" s="419"/>
      <c r="IGD49" s="419"/>
      <c r="IGE49" s="419"/>
      <c r="IGF49" s="419"/>
      <c r="IGG49" s="419"/>
      <c r="IGH49" s="419"/>
      <c r="IGI49" s="419"/>
      <c r="IGJ49" s="419"/>
      <c r="IGK49" s="419"/>
      <c r="IGL49" s="419"/>
      <c r="IGM49" s="419"/>
      <c r="IGN49" s="419"/>
      <c r="IGO49" s="419"/>
      <c r="IGP49" s="419"/>
      <c r="IGQ49" s="419"/>
      <c r="IGR49" s="419"/>
      <c r="IGS49" s="419"/>
      <c r="IGT49" s="419"/>
      <c r="IGU49" s="419"/>
      <c r="IGV49" s="419"/>
      <c r="IGW49" s="419"/>
      <c r="IGX49" s="419"/>
      <c r="IGY49" s="419"/>
      <c r="IGZ49" s="419"/>
      <c r="IHA49" s="419"/>
      <c r="IHB49" s="419"/>
      <c r="IHC49" s="419"/>
      <c r="IHD49" s="419"/>
      <c r="IHE49" s="419"/>
      <c r="IHF49" s="419"/>
      <c r="IHG49" s="419"/>
      <c r="IHH49" s="419"/>
      <c r="IHI49" s="419"/>
      <c r="IHJ49" s="419"/>
      <c r="IHK49" s="419"/>
      <c r="IHL49" s="419"/>
      <c r="IHM49" s="419"/>
      <c r="IHN49" s="419"/>
      <c r="IHO49" s="419"/>
      <c r="IHP49" s="419"/>
      <c r="IHQ49" s="419"/>
      <c r="IHR49" s="419"/>
      <c r="IHS49" s="419"/>
      <c r="IHT49" s="419"/>
      <c r="IHU49" s="419"/>
      <c r="IHV49" s="419"/>
      <c r="IHW49" s="419"/>
      <c r="IHX49" s="419"/>
      <c r="IHY49" s="419"/>
      <c r="IHZ49" s="419"/>
      <c r="IIA49" s="419"/>
      <c r="IIB49" s="419"/>
      <c r="IIC49" s="419"/>
      <c r="IID49" s="419"/>
      <c r="IIE49" s="419"/>
      <c r="IIF49" s="419"/>
      <c r="IIG49" s="419"/>
      <c r="IIH49" s="419"/>
      <c r="III49" s="419"/>
      <c r="IIJ49" s="419"/>
      <c r="IIK49" s="419"/>
      <c r="IIL49" s="419"/>
      <c r="IIM49" s="419"/>
      <c r="IIN49" s="419"/>
      <c r="IIO49" s="419"/>
      <c r="IIP49" s="419"/>
      <c r="IIQ49" s="419"/>
      <c r="IIR49" s="419"/>
      <c r="IIS49" s="419"/>
      <c r="IIT49" s="419"/>
      <c r="IIU49" s="419"/>
      <c r="IIV49" s="419"/>
      <c r="IIW49" s="419"/>
      <c r="IIX49" s="419"/>
      <c r="IIY49" s="419"/>
      <c r="IIZ49" s="419"/>
      <c r="IJA49" s="419"/>
      <c r="IJB49" s="419"/>
      <c r="IJC49" s="419"/>
      <c r="IJD49" s="419"/>
      <c r="IJE49" s="419"/>
      <c r="IJF49" s="419"/>
      <c r="IJG49" s="419"/>
      <c r="IJH49" s="419"/>
      <c r="IJI49" s="419"/>
      <c r="IJJ49" s="419"/>
      <c r="IJK49" s="419"/>
      <c r="IJL49" s="419"/>
      <c r="IJM49" s="419"/>
      <c r="IJN49" s="419"/>
      <c r="IJO49" s="419"/>
      <c r="IJP49" s="419"/>
      <c r="IJQ49" s="419"/>
      <c r="IJR49" s="419"/>
      <c r="IJS49" s="419"/>
      <c r="IJT49" s="419"/>
      <c r="IJU49" s="419"/>
      <c r="IJV49" s="419"/>
      <c r="IJW49" s="419"/>
      <c r="IJX49" s="419"/>
      <c r="IJY49" s="419"/>
      <c r="IJZ49" s="419"/>
      <c r="IKA49" s="419"/>
      <c r="IKB49" s="419"/>
      <c r="IKC49" s="419"/>
      <c r="IKD49" s="419"/>
      <c r="IKE49" s="419"/>
      <c r="IKF49" s="419"/>
      <c r="IKG49" s="419"/>
      <c r="IKH49" s="419"/>
      <c r="IKI49" s="419"/>
      <c r="IKJ49" s="419"/>
      <c r="IKK49" s="419"/>
      <c r="IKL49" s="419"/>
      <c r="IKM49" s="419"/>
      <c r="IKN49" s="419"/>
      <c r="IKO49" s="419"/>
      <c r="IKP49" s="419"/>
      <c r="IKQ49" s="419"/>
      <c r="IKR49" s="419"/>
      <c r="IKS49" s="419"/>
      <c r="IKT49" s="419"/>
      <c r="IKU49" s="419"/>
      <c r="IKV49" s="419"/>
      <c r="IKW49" s="419"/>
      <c r="IKX49" s="419"/>
      <c r="IKY49" s="419"/>
      <c r="IKZ49" s="419"/>
      <c r="ILA49" s="419"/>
      <c r="ILB49" s="419"/>
      <c r="ILC49" s="419"/>
      <c r="ILD49" s="419"/>
      <c r="ILE49" s="419"/>
      <c r="ILF49" s="419"/>
      <c r="ILG49" s="419"/>
      <c r="ILH49" s="419"/>
      <c r="ILI49" s="419"/>
      <c r="ILJ49" s="419"/>
      <c r="ILK49" s="419"/>
      <c r="ILL49" s="419"/>
      <c r="ILM49" s="419"/>
      <c r="ILN49" s="419"/>
      <c r="ILO49" s="419"/>
      <c r="ILP49" s="419"/>
      <c r="ILQ49" s="419"/>
      <c r="ILR49" s="419"/>
      <c r="ILS49" s="419"/>
      <c r="ILT49" s="419"/>
      <c r="ILU49" s="419"/>
      <c r="ILV49" s="419"/>
      <c r="ILW49" s="419"/>
      <c r="ILX49" s="419"/>
      <c r="ILY49" s="419"/>
      <c r="ILZ49" s="419"/>
      <c r="IMA49" s="419"/>
      <c r="IMB49" s="419"/>
      <c r="IMC49" s="419"/>
      <c r="IMD49" s="419"/>
      <c r="IME49" s="419"/>
      <c r="IMF49" s="419"/>
      <c r="IMG49" s="419"/>
      <c r="IMH49" s="419"/>
      <c r="IMI49" s="419"/>
      <c r="IMJ49" s="419"/>
      <c r="IMK49" s="419"/>
      <c r="IML49" s="419"/>
      <c r="IMM49" s="419"/>
      <c r="IMN49" s="419"/>
      <c r="IMO49" s="419"/>
      <c r="IMP49" s="419"/>
      <c r="IMQ49" s="419"/>
      <c r="IMR49" s="419"/>
      <c r="IMS49" s="419"/>
      <c r="IMT49" s="419"/>
      <c r="IMU49" s="419"/>
      <c r="IMV49" s="419"/>
      <c r="IMW49" s="419"/>
      <c r="IMX49" s="419"/>
      <c r="IMY49" s="419"/>
      <c r="IMZ49" s="419"/>
      <c r="INA49" s="419"/>
      <c r="INB49" s="419"/>
      <c r="INC49" s="419"/>
      <c r="IND49" s="419"/>
      <c r="INE49" s="419"/>
      <c r="INF49" s="419"/>
      <c r="ING49" s="419"/>
      <c r="INH49" s="419"/>
      <c r="INI49" s="419"/>
      <c r="INJ49" s="419"/>
      <c r="INK49" s="419"/>
      <c r="INL49" s="419"/>
      <c r="INM49" s="419"/>
      <c r="INN49" s="419"/>
      <c r="INO49" s="419"/>
      <c r="INP49" s="419"/>
      <c r="INQ49" s="419"/>
      <c r="INR49" s="419"/>
      <c r="INS49" s="419"/>
      <c r="INT49" s="419"/>
      <c r="INU49" s="419"/>
      <c r="INV49" s="419"/>
      <c r="INW49" s="419"/>
      <c r="INX49" s="419"/>
      <c r="INY49" s="419"/>
      <c r="INZ49" s="419"/>
      <c r="IOA49" s="419"/>
      <c r="IOB49" s="419"/>
      <c r="IOC49" s="419"/>
      <c r="IOD49" s="419"/>
      <c r="IOE49" s="419"/>
      <c r="IOF49" s="419"/>
      <c r="IOG49" s="419"/>
      <c r="IOH49" s="419"/>
      <c r="IOI49" s="419"/>
      <c r="IOJ49" s="419"/>
      <c r="IOK49" s="419"/>
      <c r="IOL49" s="419"/>
      <c r="IOM49" s="419"/>
      <c r="ION49" s="419"/>
      <c r="IOO49" s="419"/>
      <c r="IOP49" s="419"/>
      <c r="IOQ49" s="419"/>
      <c r="IOR49" s="419"/>
      <c r="IOS49" s="419"/>
      <c r="IOT49" s="419"/>
      <c r="IOU49" s="419"/>
      <c r="IOV49" s="419"/>
      <c r="IOW49" s="419"/>
      <c r="IOX49" s="419"/>
      <c r="IOY49" s="419"/>
      <c r="IOZ49" s="419"/>
      <c r="IPA49" s="419"/>
      <c r="IPB49" s="419"/>
      <c r="IPC49" s="419"/>
      <c r="IPD49" s="419"/>
      <c r="IPE49" s="419"/>
      <c r="IPF49" s="419"/>
      <c r="IPG49" s="419"/>
      <c r="IPH49" s="419"/>
      <c r="IPI49" s="419"/>
      <c r="IPJ49" s="419"/>
      <c r="IPK49" s="419"/>
      <c r="IPL49" s="419"/>
      <c r="IPM49" s="419"/>
      <c r="IPN49" s="419"/>
      <c r="IPO49" s="419"/>
      <c r="IPP49" s="419"/>
      <c r="IPQ49" s="419"/>
      <c r="IPR49" s="419"/>
      <c r="IPS49" s="419"/>
      <c r="IPT49" s="419"/>
      <c r="IPU49" s="419"/>
      <c r="IPV49" s="419"/>
      <c r="IPW49" s="419"/>
      <c r="IPX49" s="419"/>
      <c r="IPY49" s="419"/>
      <c r="IPZ49" s="419"/>
      <c r="IQA49" s="419"/>
      <c r="IQB49" s="419"/>
      <c r="IQC49" s="419"/>
      <c r="IQD49" s="419"/>
      <c r="IQE49" s="419"/>
      <c r="IQF49" s="419"/>
      <c r="IQG49" s="419"/>
      <c r="IQH49" s="419"/>
      <c r="IQI49" s="419"/>
      <c r="IQJ49" s="419"/>
      <c r="IQK49" s="419"/>
      <c r="IQL49" s="419"/>
      <c r="IQM49" s="419"/>
      <c r="IQN49" s="419"/>
      <c r="IQO49" s="419"/>
      <c r="IQP49" s="419"/>
      <c r="IQQ49" s="419"/>
      <c r="IQR49" s="419"/>
      <c r="IQS49" s="419"/>
      <c r="IQT49" s="419"/>
      <c r="IQU49" s="419"/>
      <c r="IQV49" s="419"/>
      <c r="IQW49" s="419"/>
      <c r="IQX49" s="419"/>
      <c r="IQY49" s="419"/>
      <c r="IQZ49" s="419"/>
      <c r="IRA49" s="419"/>
      <c r="IRB49" s="419"/>
      <c r="IRC49" s="419"/>
      <c r="IRD49" s="419"/>
      <c r="IRE49" s="419"/>
      <c r="IRF49" s="419"/>
      <c r="IRG49" s="419"/>
      <c r="IRH49" s="419"/>
      <c r="IRI49" s="419"/>
      <c r="IRJ49" s="419"/>
      <c r="IRK49" s="419"/>
      <c r="IRL49" s="419"/>
      <c r="IRM49" s="419"/>
      <c r="IRN49" s="419"/>
      <c r="IRO49" s="419"/>
      <c r="IRP49" s="419"/>
      <c r="IRQ49" s="419"/>
      <c r="IRR49" s="419"/>
      <c r="IRS49" s="419"/>
      <c r="IRT49" s="419"/>
      <c r="IRU49" s="419"/>
      <c r="IRV49" s="419"/>
      <c r="IRW49" s="419"/>
      <c r="IRX49" s="419"/>
      <c r="IRY49" s="419"/>
      <c r="IRZ49" s="419"/>
      <c r="ISA49" s="419"/>
      <c r="ISB49" s="419"/>
      <c r="ISC49" s="419"/>
      <c r="ISD49" s="419"/>
      <c r="ISE49" s="419"/>
      <c r="ISF49" s="419"/>
      <c r="ISG49" s="419"/>
      <c r="ISH49" s="419"/>
      <c r="ISI49" s="419"/>
      <c r="ISJ49" s="419"/>
      <c r="ISK49" s="419"/>
      <c r="ISL49" s="419"/>
      <c r="ISM49" s="419"/>
      <c r="ISN49" s="419"/>
      <c r="ISO49" s="419"/>
      <c r="ISP49" s="419"/>
      <c r="ISQ49" s="419"/>
      <c r="ISR49" s="419"/>
      <c r="ISS49" s="419"/>
      <c r="IST49" s="419"/>
      <c r="ISU49" s="419"/>
      <c r="ISV49" s="419"/>
      <c r="ISW49" s="419"/>
      <c r="ISX49" s="419"/>
      <c r="ISY49" s="419"/>
      <c r="ISZ49" s="419"/>
      <c r="ITA49" s="419"/>
      <c r="ITB49" s="419"/>
      <c r="ITC49" s="419"/>
      <c r="ITD49" s="419"/>
      <c r="ITE49" s="419"/>
      <c r="ITF49" s="419"/>
      <c r="ITG49" s="419"/>
      <c r="ITH49" s="419"/>
      <c r="ITI49" s="419"/>
      <c r="ITJ49" s="419"/>
      <c r="ITK49" s="419"/>
      <c r="ITL49" s="419"/>
      <c r="ITM49" s="419"/>
      <c r="ITN49" s="419"/>
      <c r="ITO49" s="419"/>
      <c r="ITP49" s="419"/>
      <c r="ITQ49" s="419"/>
      <c r="ITR49" s="419"/>
      <c r="ITS49" s="419"/>
      <c r="ITT49" s="419"/>
      <c r="ITU49" s="419"/>
      <c r="ITV49" s="419"/>
      <c r="ITW49" s="419"/>
      <c r="ITX49" s="419"/>
      <c r="ITY49" s="419"/>
      <c r="ITZ49" s="419"/>
      <c r="IUA49" s="419"/>
      <c r="IUB49" s="419"/>
      <c r="IUC49" s="419"/>
      <c r="IUD49" s="419"/>
      <c r="IUE49" s="419"/>
      <c r="IUF49" s="419"/>
      <c r="IUG49" s="419"/>
      <c r="IUH49" s="419"/>
      <c r="IUI49" s="419"/>
      <c r="IUJ49" s="419"/>
      <c r="IUK49" s="419"/>
      <c r="IUL49" s="419"/>
      <c r="IUM49" s="419"/>
      <c r="IUN49" s="419"/>
      <c r="IUO49" s="419"/>
      <c r="IUP49" s="419"/>
      <c r="IUQ49" s="419"/>
      <c r="IUR49" s="419"/>
      <c r="IUS49" s="419"/>
      <c r="IUT49" s="419"/>
      <c r="IUU49" s="419"/>
      <c r="IUV49" s="419"/>
      <c r="IUW49" s="419"/>
      <c r="IUX49" s="419"/>
      <c r="IUY49" s="419"/>
      <c r="IUZ49" s="419"/>
      <c r="IVA49" s="419"/>
      <c r="IVB49" s="419"/>
      <c r="IVC49" s="419"/>
      <c r="IVD49" s="419"/>
      <c r="IVE49" s="419"/>
      <c r="IVF49" s="419"/>
      <c r="IVG49" s="419"/>
      <c r="IVH49" s="419"/>
      <c r="IVI49" s="419"/>
      <c r="IVJ49" s="419"/>
      <c r="IVK49" s="419"/>
      <c r="IVL49" s="419"/>
      <c r="IVM49" s="419"/>
      <c r="IVN49" s="419"/>
      <c r="IVO49" s="419"/>
      <c r="IVP49" s="419"/>
      <c r="IVQ49" s="419"/>
      <c r="IVR49" s="419"/>
      <c r="IVS49" s="419"/>
      <c r="IVT49" s="419"/>
      <c r="IVU49" s="419"/>
      <c r="IVV49" s="419"/>
      <c r="IVW49" s="419"/>
      <c r="IVX49" s="419"/>
      <c r="IVY49" s="419"/>
      <c r="IVZ49" s="419"/>
      <c r="IWA49" s="419"/>
      <c r="IWB49" s="419"/>
      <c r="IWC49" s="419"/>
      <c r="IWD49" s="419"/>
      <c r="IWE49" s="419"/>
      <c r="IWF49" s="419"/>
      <c r="IWG49" s="419"/>
      <c r="IWH49" s="419"/>
      <c r="IWI49" s="419"/>
      <c r="IWJ49" s="419"/>
      <c r="IWK49" s="419"/>
      <c r="IWL49" s="419"/>
      <c r="IWM49" s="419"/>
      <c r="IWN49" s="419"/>
      <c r="IWO49" s="419"/>
      <c r="IWP49" s="419"/>
      <c r="IWQ49" s="419"/>
      <c r="IWR49" s="419"/>
      <c r="IWS49" s="419"/>
      <c r="IWT49" s="419"/>
      <c r="IWU49" s="419"/>
      <c r="IWV49" s="419"/>
      <c r="IWW49" s="419"/>
      <c r="IWX49" s="419"/>
      <c r="IWY49" s="419"/>
      <c r="IWZ49" s="419"/>
      <c r="IXA49" s="419"/>
      <c r="IXB49" s="419"/>
      <c r="IXC49" s="419"/>
      <c r="IXD49" s="419"/>
      <c r="IXE49" s="419"/>
      <c r="IXF49" s="419"/>
      <c r="IXG49" s="419"/>
      <c r="IXH49" s="419"/>
      <c r="IXI49" s="419"/>
      <c r="IXJ49" s="419"/>
      <c r="IXK49" s="419"/>
      <c r="IXL49" s="419"/>
      <c r="IXM49" s="419"/>
      <c r="IXN49" s="419"/>
      <c r="IXO49" s="419"/>
      <c r="IXP49" s="419"/>
      <c r="IXQ49" s="419"/>
      <c r="IXR49" s="419"/>
      <c r="IXS49" s="419"/>
      <c r="IXT49" s="419"/>
      <c r="IXU49" s="419"/>
      <c r="IXV49" s="419"/>
      <c r="IXW49" s="419"/>
      <c r="IXX49" s="419"/>
      <c r="IXY49" s="419"/>
      <c r="IXZ49" s="419"/>
      <c r="IYA49" s="419"/>
      <c r="IYB49" s="419"/>
      <c r="IYC49" s="419"/>
      <c r="IYD49" s="419"/>
      <c r="IYE49" s="419"/>
      <c r="IYF49" s="419"/>
      <c r="IYG49" s="419"/>
      <c r="IYH49" s="419"/>
      <c r="IYI49" s="419"/>
      <c r="IYJ49" s="419"/>
      <c r="IYK49" s="419"/>
      <c r="IYL49" s="419"/>
      <c r="IYM49" s="419"/>
      <c r="IYN49" s="419"/>
      <c r="IYO49" s="419"/>
      <c r="IYP49" s="419"/>
      <c r="IYQ49" s="419"/>
      <c r="IYR49" s="419"/>
      <c r="IYS49" s="419"/>
      <c r="IYT49" s="419"/>
      <c r="IYU49" s="419"/>
      <c r="IYV49" s="419"/>
      <c r="IYW49" s="419"/>
      <c r="IYX49" s="419"/>
      <c r="IYY49" s="419"/>
      <c r="IYZ49" s="419"/>
      <c r="IZA49" s="419"/>
      <c r="IZB49" s="419"/>
      <c r="IZC49" s="419"/>
      <c r="IZD49" s="419"/>
      <c r="IZE49" s="419"/>
      <c r="IZF49" s="419"/>
      <c r="IZG49" s="419"/>
      <c r="IZH49" s="419"/>
      <c r="IZI49" s="419"/>
      <c r="IZJ49" s="419"/>
      <c r="IZK49" s="419"/>
      <c r="IZL49" s="419"/>
      <c r="IZM49" s="419"/>
      <c r="IZN49" s="419"/>
      <c r="IZO49" s="419"/>
      <c r="IZP49" s="419"/>
      <c r="IZQ49" s="419"/>
      <c r="IZR49" s="419"/>
      <c r="IZS49" s="419"/>
      <c r="IZT49" s="419"/>
      <c r="IZU49" s="419"/>
      <c r="IZV49" s="419"/>
      <c r="IZW49" s="419"/>
      <c r="IZX49" s="419"/>
      <c r="IZY49" s="419"/>
      <c r="IZZ49" s="419"/>
      <c r="JAA49" s="419"/>
      <c r="JAB49" s="419"/>
      <c r="JAC49" s="419"/>
      <c r="JAD49" s="419"/>
      <c r="JAE49" s="419"/>
      <c r="JAF49" s="419"/>
      <c r="JAG49" s="419"/>
      <c r="JAH49" s="419"/>
      <c r="JAI49" s="419"/>
      <c r="JAJ49" s="419"/>
      <c r="JAK49" s="419"/>
      <c r="JAL49" s="419"/>
      <c r="JAM49" s="419"/>
      <c r="JAN49" s="419"/>
      <c r="JAO49" s="419"/>
      <c r="JAP49" s="419"/>
      <c r="JAQ49" s="419"/>
      <c r="JAR49" s="419"/>
      <c r="JAS49" s="419"/>
      <c r="JAT49" s="419"/>
      <c r="JAU49" s="419"/>
      <c r="JAV49" s="419"/>
      <c r="JAW49" s="419"/>
      <c r="JAX49" s="419"/>
      <c r="JAY49" s="419"/>
      <c r="JAZ49" s="419"/>
      <c r="JBA49" s="419"/>
      <c r="JBB49" s="419"/>
      <c r="JBC49" s="419"/>
      <c r="JBD49" s="419"/>
      <c r="JBE49" s="419"/>
      <c r="JBF49" s="419"/>
      <c r="JBG49" s="419"/>
      <c r="JBH49" s="419"/>
      <c r="JBI49" s="419"/>
      <c r="JBJ49" s="419"/>
      <c r="JBK49" s="419"/>
      <c r="JBL49" s="419"/>
      <c r="JBM49" s="419"/>
      <c r="JBN49" s="419"/>
      <c r="JBO49" s="419"/>
      <c r="JBP49" s="419"/>
      <c r="JBQ49" s="419"/>
      <c r="JBR49" s="419"/>
      <c r="JBS49" s="419"/>
      <c r="JBT49" s="419"/>
      <c r="JBU49" s="419"/>
      <c r="JBV49" s="419"/>
      <c r="JBW49" s="419"/>
      <c r="JBX49" s="419"/>
      <c r="JBY49" s="419"/>
      <c r="JBZ49" s="419"/>
      <c r="JCA49" s="419"/>
      <c r="JCB49" s="419"/>
      <c r="JCC49" s="419"/>
      <c r="JCD49" s="419"/>
      <c r="JCE49" s="419"/>
      <c r="JCF49" s="419"/>
      <c r="JCG49" s="419"/>
      <c r="JCH49" s="419"/>
      <c r="JCI49" s="419"/>
      <c r="JCJ49" s="419"/>
      <c r="JCK49" s="419"/>
      <c r="JCL49" s="419"/>
      <c r="JCM49" s="419"/>
      <c r="JCN49" s="419"/>
      <c r="JCO49" s="419"/>
      <c r="JCP49" s="419"/>
      <c r="JCQ49" s="419"/>
      <c r="JCR49" s="419"/>
      <c r="JCS49" s="419"/>
      <c r="JCT49" s="419"/>
      <c r="JCU49" s="419"/>
      <c r="JCV49" s="419"/>
      <c r="JCW49" s="419"/>
      <c r="JCX49" s="419"/>
      <c r="JCY49" s="419"/>
      <c r="JCZ49" s="419"/>
      <c r="JDA49" s="419"/>
      <c r="JDB49" s="419"/>
      <c r="JDC49" s="419"/>
      <c r="JDD49" s="419"/>
      <c r="JDE49" s="419"/>
      <c r="JDF49" s="419"/>
      <c r="JDG49" s="419"/>
      <c r="JDH49" s="419"/>
      <c r="JDI49" s="419"/>
      <c r="JDJ49" s="419"/>
      <c r="JDK49" s="419"/>
      <c r="JDL49" s="419"/>
      <c r="JDM49" s="419"/>
      <c r="JDN49" s="419"/>
      <c r="JDO49" s="419"/>
      <c r="JDP49" s="419"/>
      <c r="JDQ49" s="419"/>
      <c r="JDR49" s="419"/>
      <c r="JDS49" s="419"/>
      <c r="JDT49" s="419"/>
      <c r="JDU49" s="419"/>
      <c r="JDV49" s="419"/>
      <c r="JDW49" s="419"/>
      <c r="JDX49" s="419"/>
      <c r="JDY49" s="419"/>
      <c r="JDZ49" s="419"/>
      <c r="JEA49" s="419"/>
      <c r="JEB49" s="419"/>
      <c r="JEC49" s="419"/>
      <c r="JED49" s="419"/>
      <c r="JEE49" s="419"/>
      <c r="JEF49" s="419"/>
      <c r="JEG49" s="419"/>
      <c r="JEH49" s="419"/>
      <c r="JEI49" s="419"/>
      <c r="JEJ49" s="419"/>
      <c r="JEK49" s="419"/>
      <c r="JEL49" s="419"/>
      <c r="JEM49" s="419"/>
      <c r="JEN49" s="419"/>
      <c r="JEO49" s="419"/>
      <c r="JEP49" s="419"/>
      <c r="JEQ49" s="419"/>
      <c r="JER49" s="419"/>
      <c r="JES49" s="419"/>
      <c r="JET49" s="419"/>
      <c r="JEU49" s="419"/>
      <c r="JEV49" s="419"/>
      <c r="JEW49" s="419"/>
      <c r="JEX49" s="419"/>
      <c r="JEY49" s="419"/>
      <c r="JEZ49" s="419"/>
      <c r="JFA49" s="419"/>
      <c r="JFB49" s="419"/>
      <c r="JFC49" s="419"/>
      <c r="JFD49" s="419"/>
      <c r="JFE49" s="419"/>
      <c r="JFF49" s="419"/>
      <c r="JFG49" s="419"/>
      <c r="JFH49" s="419"/>
      <c r="JFI49" s="419"/>
      <c r="JFJ49" s="419"/>
      <c r="JFK49" s="419"/>
      <c r="JFL49" s="419"/>
      <c r="JFM49" s="419"/>
      <c r="JFN49" s="419"/>
      <c r="JFO49" s="419"/>
      <c r="JFP49" s="419"/>
      <c r="JFQ49" s="419"/>
      <c r="JFR49" s="419"/>
      <c r="JFS49" s="419"/>
      <c r="JFT49" s="419"/>
      <c r="JFU49" s="419"/>
      <c r="JFV49" s="419"/>
      <c r="JFW49" s="419"/>
      <c r="JFX49" s="419"/>
      <c r="JFY49" s="419"/>
      <c r="JFZ49" s="419"/>
      <c r="JGA49" s="419"/>
      <c r="JGB49" s="419"/>
      <c r="JGC49" s="419"/>
      <c r="JGD49" s="419"/>
      <c r="JGE49" s="419"/>
      <c r="JGF49" s="419"/>
      <c r="JGG49" s="419"/>
      <c r="JGH49" s="419"/>
      <c r="JGI49" s="419"/>
      <c r="JGJ49" s="419"/>
      <c r="JGK49" s="419"/>
      <c r="JGL49" s="419"/>
      <c r="JGM49" s="419"/>
      <c r="JGN49" s="419"/>
      <c r="JGO49" s="419"/>
      <c r="JGP49" s="419"/>
      <c r="JGQ49" s="419"/>
      <c r="JGR49" s="419"/>
      <c r="JGS49" s="419"/>
      <c r="JGT49" s="419"/>
      <c r="JGU49" s="419"/>
      <c r="JGV49" s="419"/>
      <c r="JGW49" s="419"/>
      <c r="JGX49" s="419"/>
      <c r="JGY49" s="419"/>
      <c r="JGZ49" s="419"/>
      <c r="JHA49" s="419"/>
      <c r="JHB49" s="419"/>
      <c r="JHC49" s="419"/>
      <c r="JHD49" s="419"/>
      <c r="JHE49" s="419"/>
      <c r="JHF49" s="419"/>
      <c r="JHG49" s="419"/>
      <c r="JHH49" s="419"/>
      <c r="JHI49" s="419"/>
      <c r="JHJ49" s="419"/>
      <c r="JHK49" s="419"/>
      <c r="JHL49" s="419"/>
      <c r="JHM49" s="419"/>
      <c r="JHN49" s="419"/>
      <c r="JHO49" s="419"/>
      <c r="JHP49" s="419"/>
      <c r="JHQ49" s="419"/>
      <c r="JHR49" s="419"/>
      <c r="JHS49" s="419"/>
      <c r="JHT49" s="419"/>
      <c r="JHU49" s="419"/>
      <c r="JHV49" s="419"/>
      <c r="JHW49" s="419"/>
      <c r="JHX49" s="419"/>
      <c r="JHY49" s="419"/>
      <c r="JHZ49" s="419"/>
      <c r="JIA49" s="419"/>
      <c r="JIB49" s="419"/>
      <c r="JIC49" s="419"/>
      <c r="JID49" s="419"/>
      <c r="JIE49" s="419"/>
      <c r="JIF49" s="419"/>
      <c r="JIG49" s="419"/>
      <c r="JIH49" s="419"/>
      <c r="JII49" s="419"/>
      <c r="JIJ49" s="419"/>
      <c r="JIK49" s="419"/>
      <c r="JIL49" s="419"/>
      <c r="JIM49" s="419"/>
      <c r="JIN49" s="419"/>
      <c r="JIO49" s="419"/>
      <c r="JIP49" s="419"/>
      <c r="JIQ49" s="419"/>
      <c r="JIR49" s="419"/>
      <c r="JIS49" s="419"/>
      <c r="JIT49" s="419"/>
      <c r="JIU49" s="419"/>
      <c r="JIV49" s="419"/>
      <c r="JIW49" s="419"/>
      <c r="JIX49" s="419"/>
      <c r="JIY49" s="419"/>
      <c r="JIZ49" s="419"/>
      <c r="JJA49" s="419"/>
      <c r="JJB49" s="419"/>
      <c r="JJC49" s="419"/>
      <c r="JJD49" s="419"/>
      <c r="JJE49" s="419"/>
      <c r="JJF49" s="419"/>
      <c r="JJG49" s="419"/>
      <c r="JJH49" s="419"/>
      <c r="JJI49" s="419"/>
      <c r="JJJ49" s="419"/>
      <c r="JJK49" s="419"/>
      <c r="JJL49" s="419"/>
      <c r="JJM49" s="419"/>
      <c r="JJN49" s="419"/>
      <c r="JJO49" s="419"/>
      <c r="JJP49" s="419"/>
      <c r="JJQ49" s="419"/>
      <c r="JJR49" s="419"/>
      <c r="JJS49" s="419"/>
      <c r="JJT49" s="419"/>
      <c r="JJU49" s="419"/>
      <c r="JJV49" s="419"/>
      <c r="JJW49" s="419"/>
      <c r="JJX49" s="419"/>
      <c r="JJY49" s="419"/>
      <c r="JJZ49" s="419"/>
      <c r="JKA49" s="419"/>
      <c r="JKB49" s="419"/>
      <c r="JKC49" s="419"/>
      <c r="JKD49" s="419"/>
      <c r="JKE49" s="419"/>
      <c r="JKF49" s="419"/>
      <c r="JKG49" s="419"/>
      <c r="JKH49" s="419"/>
      <c r="JKI49" s="419"/>
      <c r="JKJ49" s="419"/>
      <c r="JKK49" s="419"/>
      <c r="JKL49" s="419"/>
      <c r="JKM49" s="419"/>
      <c r="JKN49" s="419"/>
      <c r="JKO49" s="419"/>
      <c r="JKP49" s="419"/>
      <c r="JKQ49" s="419"/>
      <c r="JKR49" s="419"/>
      <c r="JKS49" s="419"/>
      <c r="JKT49" s="419"/>
      <c r="JKU49" s="419"/>
      <c r="JKV49" s="419"/>
      <c r="JKW49" s="419"/>
      <c r="JKX49" s="419"/>
      <c r="JKY49" s="419"/>
      <c r="JKZ49" s="419"/>
      <c r="JLA49" s="419"/>
      <c r="JLB49" s="419"/>
      <c r="JLC49" s="419"/>
      <c r="JLD49" s="419"/>
      <c r="JLE49" s="419"/>
      <c r="JLF49" s="419"/>
      <c r="JLG49" s="419"/>
      <c r="JLH49" s="419"/>
      <c r="JLI49" s="419"/>
      <c r="JLJ49" s="419"/>
      <c r="JLK49" s="419"/>
      <c r="JLL49" s="419"/>
      <c r="JLM49" s="419"/>
      <c r="JLN49" s="419"/>
      <c r="JLO49" s="419"/>
      <c r="JLP49" s="419"/>
      <c r="JLQ49" s="419"/>
      <c r="JLR49" s="419"/>
      <c r="JLS49" s="419"/>
      <c r="JLT49" s="419"/>
      <c r="JLU49" s="419"/>
      <c r="JLV49" s="419"/>
      <c r="JLW49" s="419"/>
      <c r="JLX49" s="419"/>
      <c r="JLY49" s="419"/>
      <c r="JLZ49" s="419"/>
      <c r="JMA49" s="419"/>
      <c r="JMB49" s="419"/>
      <c r="JMC49" s="419"/>
      <c r="JMD49" s="419"/>
      <c r="JME49" s="419"/>
      <c r="JMF49" s="419"/>
      <c r="JMG49" s="419"/>
      <c r="JMH49" s="419"/>
      <c r="JMI49" s="419"/>
      <c r="JMJ49" s="419"/>
      <c r="JMK49" s="419"/>
      <c r="JML49" s="419"/>
      <c r="JMM49" s="419"/>
      <c r="JMN49" s="419"/>
      <c r="JMO49" s="419"/>
      <c r="JMP49" s="419"/>
      <c r="JMQ49" s="419"/>
      <c r="JMR49" s="419"/>
      <c r="JMS49" s="419"/>
      <c r="JMT49" s="419"/>
      <c r="JMU49" s="419"/>
      <c r="JMV49" s="419"/>
      <c r="JMW49" s="419"/>
      <c r="JMX49" s="419"/>
      <c r="JMY49" s="419"/>
      <c r="JMZ49" s="419"/>
      <c r="JNA49" s="419"/>
      <c r="JNB49" s="419"/>
      <c r="JNC49" s="419"/>
      <c r="JND49" s="419"/>
      <c r="JNE49" s="419"/>
      <c r="JNF49" s="419"/>
      <c r="JNG49" s="419"/>
      <c r="JNH49" s="419"/>
      <c r="JNI49" s="419"/>
      <c r="JNJ49" s="419"/>
      <c r="JNK49" s="419"/>
      <c r="JNL49" s="419"/>
      <c r="JNM49" s="419"/>
      <c r="JNN49" s="419"/>
      <c r="JNO49" s="419"/>
      <c r="JNP49" s="419"/>
      <c r="JNQ49" s="419"/>
      <c r="JNR49" s="419"/>
      <c r="JNS49" s="419"/>
      <c r="JNT49" s="419"/>
      <c r="JNU49" s="419"/>
      <c r="JNV49" s="419"/>
      <c r="JNW49" s="419"/>
      <c r="JNX49" s="419"/>
      <c r="JNY49" s="419"/>
      <c r="JNZ49" s="419"/>
      <c r="JOA49" s="419"/>
      <c r="JOB49" s="419"/>
      <c r="JOC49" s="419"/>
      <c r="JOD49" s="419"/>
      <c r="JOE49" s="419"/>
      <c r="JOF49" s="419"/>
      <c r="JOG49" s="419"/>
      <c r="JOH49" s="419"/>
      <c r="JOI49" s="419"/>
      <c r="JOJ49" s="419"/>
      <c r="JOK49" s="419"/>
      <c r="JOL49" s="419"/>
      <c r="JOM49" s="419"/>
      <c r="JON49" s="419"/>
      <c r="JOO49" s="419"/>
      <c r="JOP49" s="419"/>
      <c r="JOQ49" s="419"/>
      <c r="JOR49" s="419"/>
      <c r="JOS49" s="419"/>
      <c r="JOT49" s="419"/>
      <c r="JOU49" s="419"/>
      <c r="JOV49" s="419"/>
      <c r="JOW49" s="419"/>
      <c r="JOX49" s="419"/>
      <c r="JOY49" s="419"/>
      <c r="JOZ49" s="419"/>
      <c r="JPA49" s="419"/>
      <c r="JPB49" s="419"/>
      <c r="JPC49" s="419"/>
      <c r="JPD49" s="419"/>
      <c r="JPE49" s="419"/>
      <c r="JPF49" s="419"/>
      <c r="JPG49" s="419"/>
      <c r="JPH49" s="419"/>
      <c r="JPI49" s="419"/>
      <c r="JPJ49" s="419"/>
      <c r="JPK49" s="419"/>
      <c r="JPL49" s="419"/>
      <c r="JPM49" s="419"/>
      <c r="JPN49" s="419"/>
      <c r="JPO49" s="419"/>
      <c r="JPP49" s="419"/>
      <c r="JPQ49" s="419"/>
      <c r="JPR49" s="419"/>
      <c r="JPS49" s="419"/>
      <c r="JPT49" s="419"/>
      <c r="JPU49" s="419"/>
      <c r="JPV49" s="419"/>
      <c r="JPW49" s="419"/>
      <c r="JPX49" s="419"/>
      <c r="JPY49" s="419"/>
      <c r="JPZ49" s="419"/>
      <c r="JQA49" s="419"/>
      <c r="JQB49" s="419"/>
      <c r="JQC49" s="419"/>
      <c r="JQD49" s="419"/>
      <c r="JQE49" s="419"/>
      <c r="JQF49" s="419"/>
      <c r="JQG49" s="419"/>
      <c r="JQH49" s="419"/>
      <c r="JQI49" s="419"/>
      <c r="JQJ49" s="419"/>
      <c r="JQK49" s="419"/>
      <c r="JQL49" s="419"/>
      <c r="JQM49" s="419"/>
      <c r="JQN49" s="419"/>
      <c r="JQO49" s="419"/>
      <c r="JQP49" s="419"/>
      <c r="JQQ49" s="419"/>
      <c r="JQR49" s="419"/>
      <c r="JQS49" s="419"/>
      <c r="JQT49" s="419"/>
      <c r="JQU49" s="419"/>
      <c r="JQV49" s="419"/>
      <c r="JQW49" s="419"/>
      <c r="JQX49" s="419"/>
      <c r="JQY49" s="419"/>
      <c r="JQZ49" s="419"/>
      <c r="JRA49" s="419"/>
      <c r="JRB49" s="419"/>
      <c r="JRC49" s="419"/>
      <c r="JRD49" s="419"/>
      <c r="JRE49" s="419"/>
      <c r="JRF49" s="419"/>
      <c r="JRG49" s="419"/>
      <c r="JRH49" s="419"/>
      <c r="JRI49" s="419"/>
      <c r="JRJ49" s="419"/>
      <c r="JRK49" s="419"/>
      <c r="JRL49" s="419"/>
      <c r="JRM49" s="419"/>
      <c r="JRN49" s="419"/>
      <c r="JRO49" s="419"/>
      <c r="JRP49" s="419"/>
      <c r="JRQ49" s="419"/>
      <c r="JRR49" s="419"/>
      <c r="JRS49" s="419"/>
      <c r="JRT49" s="419"/>
      <c r="JRU49" s="419"/>
      <c r="JRV49" s="419"/>
      <c r="JRW49" s="419"/>
      <c r="JRX49" s="419"/>
      <c r="JRY49" s="419"/>
      <c r="JRZ49" s="419"/>
      <c r="JSA49" s="419"/>
      <c r="JSB49" s="419"/>
      <c r="JSC49" s="419"/>
      <c r="JSD49" s="419"/>
      <c r="JSE49" s="419"/>
      <c r="JSF49" s="419"/>
      <c r="JSG49" s="419"/>
      <c r="JSH49" s="419"/>
      <c r="JSI49" s="419"/>
      <c r="JSJ49" s="419"/>
      <c r="JSK49" s="419"/>
      <c r="JSL49" s="419"/>
      <c r="JSM49" s="419"/>
      <c r="JSN49" s="419"/>
      <c r="JSO49" s="419"/>
      <c r="JSP49" s="419"/>
      <c r="JSQ49" s="419"/>
      <c r="JSR49" s="419"/>
      <c r="JSS49" s="419"/>
      <c r="JST49" s="419"/>
      <c r="JSU49" s="419"/>
      <c r="JSV49" s="419"/>
      <c r="JSW49" s="419"/>
      <c r="JSX49" s="419"/>
      <c r="JSY49" s="419"/>
      <c r="JSZ49" s="419"/>
      <c r="JTA49" s="419"/>
      <c r="JTB49" s="419"/>
      <c r="JTC49" s="419"/>
      <c r="JTD49" s="419"/>
      <c r="JTE49" s="419"/>
      <c r="JTF49" s="419"/>
      <c r="JTG49" s="419"/>
      <c r="JTH49" s="419"/>
      <c r="JTI49" s="419"/>
      <c r="JTJ49" s="419"/>
      <c r="JTK49" s="419"/>
      <c r="JTL49" s="419"/>
      <c r="JTM49" s="419"/>
      <c r="JTN49" s="419"/>
      <c r="JTO49" s="419"/>
      <c r="JTP49" s="419"/>
      <c r="JTQ49" s="419"/>
      <c r="JTR49" s="419"/>
      <c r="JTS49" s="419"/>
      <c r="JTT49" s="419"/>
      <c r="JTU49" s="419"/>
      <c r="JTV49" s="419"/>
      <c r="JTW49" s="419"/>
      <c r="JTX49" s="419"/>
      <c r="JTY49" s="419"/>
      <c r="JTZ49" s="419"/>
      <c r="JUA49" s="419"/>
      <c r="JUB49" s="419"/>
      <c r="JUC49" s="419"/>
      <c r="JUD49" s="419"/>
      <c r="JUE49" s="419"/>
      <c r="JUF49" s="419"/>
      <c r="JUG49" s="419"/>
      <c r="JUH49" s="419"/>
      <c r="JUI49" s="419"/>
      <c r="JUJ49" s="419"/>
      <c r="JUK49" s="419"/>
      <c r="JUL49" s="419"/>
      <c r="JUM49" s="419"/>
      <c r="JUN49" s="419"/>
      <c r="JUO49" s="419"/>
      <c r="JUP49" s="419"/>
      <c r="JUQ49" s="419"/>
      <c r="JUR49" s="419"/>
      <c r="JUS49" s="419"/>
      <c r="JUT49" s="419"/>
      <c r="JUU49" s="419"/>
      <c r="JUV49" s="419"/>
      <c r="JUW49" s="419"/>
      <c r="JUX49" s="419"/>
      <c r="JUY49" s="419"/>
      <c r="JUZ49" s="419"/>
      <c r="JVA49" s="419"/>
      <c r="JVB49" s="419"/>
      <c r="JVC49" s="419"/>
      <c r="JVD49" s="419"/>
      <c r="JVE49" s="419"/>
      <c r="JVF49" s="419"/>
      <c r="JVG49" s="419"/>
      <c r="JVH49" s="419"/>
      <c r="JVI49" s="419"/>
      <c r="JVJ49" s="419"/>
      <c r="JVK49" s="419"/>
      <c r="JVL49" s="419"/>
      <c r="JVM49" s="419"/>
      <c r="JVN49" s="419"/>
      <c r="JVO49" s="419"/>
      <c r="JVP49" s="419"/>
      <c r="JVQ49" s="419"/>
      <c r="JVR49" s="419"/>
      <c r="JVS49" s="419"/>
      <c r="JVT49" s="419"/>
      <c r="JVU49" s="419"/>
      <c r="JVV49" s="419"/>
      <c r="JVW49" s="419"/>
      <c r="JVX49" s="419"/>
      <c r="JVY49" s="419"/>
      <c r="JVZ49" s="419"/>
      <c r="JWA49" s="419"/>
      <c r="JWB49" s="419"/>
      <c r="JWC49" s="419"/>
      <c r="JWD49" s="419"/>
      <c r="JWE49" s="419"/>
      <c r="JWF49" s="419"/>
      <c r="JWG49" s="419"/>
      <c r="JWH49" s="419"/>
      <c r="JWI49" s="419"/>
      <c r="JWJ49" s="419"/>
      <c r="JWK49" s="419"/>
      <c r="JWL49" s="419"/>
      <c r="JWM49" s="419"/>
      <c r="JWN49" s="419"/>
      <c r="JWO49" s="419"/>
      <c r="JWP49" s="419"/>
      <c r="JWQ49" s="419"/>
      <c r="JWR49" s="419"/>
      <c r="JWS49" s="419"/>
      <c r="JWT49" s="419"/>
      <c r="JWU49" s="419"/>
      <c r="JWV49" s="419"/>
      <c r="JWW49" s="419"/>
      <c r="JWX49" s="419"/>
      <c r="JWY49" s="419"/>
      <c r="JWZ49" s="419"/>
      <c r="JXA49" s="419"/>
      <c r="JXB49" s="419"/>
      <c r="JXC49" s="419"/>
      <c r="JXD49" s="419"/>
      <c r="JXE49" s="419"/>
      <c r="JXF49" s="419"/>
      <c r="JXG49" s="419"/>
      <c r="JXH49" s="419"/>
      <c r="JXI49" s="419"/>
      <c r="JXJ49" s="419"/>
      <c r="JXK49" s="419"/>
      <c r="JXL49" s="419"/>
      <c r="JXM49" s="419"/>
      <c r="JXN49" s="419"/>
      <c r="JXO49" s="419"/>
      <c r="JXP49" s="419"/>
      <c r="JXQ49" s="419"/>
      <c r="JXR49" s="419"/>
      <c r="JXS49" s="419"/>
      <c r="JXT49" s="419"/>
      <c r="JXU49" s="419"/>
      <c r="JXV49" s="419"/>
      <c r="JXW49" s="419"/>
      <c r="JXX49" s="419"/>
      <c r="JXY49" s="419"/>
      <c r="JXZ49" s="419"/>
      <c r="JYA49" s="419"/>
      <c r="JYB49" s="419"/>
      <c r="JYC49" s="419"/>
      <c r="JYD49" s="419"/>
      <c r="JYE49" s="419"/>
      <c r="JYF49" s="419"/>
      <c r="JYG49" s="419"/>
      <c r="JYH49" s="419"/>
      <c r="JYI49" s="419"/>
      <c r="JYJ49" s="419"/>
      <c r="JYK49" s="419"/>
      <c r="JYL49" s="419"/>
      <c r="JYM49" s="419"/>
      <c r="JYN49" s="419"/>
      <c r="JYO49" s="419"/>
      <c r="JYP49" s="419"/>
      <c r="JYQ49" s="419"/>
      <c r="JYR49" s="419"/>
      <c r="JYS49" s="419"/>
      <c r="JYT49" s="419"/>
      <c r="JYU49" s="419"/>
      <c r="JYV49" s="419"/>
      <c r="JYW49" s="419"/>
      <c r="JYX49" s="419"/>
      <c r="JYY49" s="419"/>
      <c r="JYZ49" s="419"/>
      <c r="JZA49" s="419"/>
      <c r="JZB49" s="419"/>
      <c r="JZC49" s="419"/>
      <c r="JZD49" s="419"/>
      <c r="JZE49" s="419"/>
      <c r="JZF49" s="419"/>
      <c r="JZG49" s="419"/>
      <c r="JZH49" s="419"/>
      <c r="JZI49" s="419"/>
      <c r="JZJ49" s="419"/>
      <c r="JZK49" s="419"/>
      <c r="JZL49" s="419"/>
      <c r="JZM49" s="419"/>
      <c r="JZN49" s="419"/>
      <c r="JZO49" s="419"/>
      <c r="JZP49" s="419"/>
      <c r="JZQ49" s="419"/>
      <c r="JZR49" s="419"/>
      <c r="JZS49" s="419"/>
      <c r="JZT49" s="419"/>
      <c r="JZU49" s="419"/>
      <c r="JZV49" s="419"/>
      <c r="JZW49" s="419"/>
      <c r="JZX49" s="419"/>
      <c r="JZY49" s="419"/>
      <c r="JZZ49" s="419"/>
      <c r="KAA49" s="419"/>
      <c r="KAB49" s="419"/>
      <c r="KAC49" s="419"/>
      <c r="KAD49" s="419"/>
      <c r="KAE49" s="419"/>
      <c r="KAF49" s="419"/>
      <c r="KAG49" s="419"/>
      <c r="KAH49" s="419"/>
      <c r="KAI49" s="419"/>
      <c r="KAJ49" s="419"/>
      <c r="KAK49" s="419"/>
      <c r="KAL49" s="419"/>
      <c r="KAM49" s="419"/>
      <c r="KAN49" s="419"/>
      <c r="KAO49" s="419"/>
      <c r="KAP49" s="419"/>
      <c r="KAQ49" s="419"/>
      <c r="KAR49" s="419"/>
      <c r="KAS49" s="419"/>
      <c r="KAT49" s="419"/>
      <c r="KAU49" s="419"/>
      <c r="KAV49" s="419"/>
      <c r="KAW49" s="419"/>
      <c r="KAX49" s="419"/>
      <c r="KAY49" s="419"/>
      <c r="KAZ49" s="419"/>
      <c r="KBA49" s="419"/>
      <c r="KBB49" s="419"/>
      <c r="KBC49" s="419"/>
      <c r="KBD49" s="419"/>
      <c r="KBE49" s="419"/>
      <c r="KBF49" s="419"/>
      <c r="KBG49" s="419"/>
      <c r="KBH49" s="419"/>
      <c r="KBI49" s="419"/>
      <c r="KBJ49" s="419"/>
      <c r="KBK49" s="419"/>
      <c r="KBL49" s="419"/>
      <c r="KBM49" s="419"/>
      <c r="KBN49" s="419"/>
      <c r="KBO49" s="419"/>
      <c r="KBP49" s="419"/>
      <c r="KBQ49" s="419"/>
      <c r="KBR49" s="419"/>
      <c r="KBS49" s="419"/>
      <c r="KBT49" s="419"/>
      <c r="KBU49" s="419"/>
      <c r="KBV49" s="419"/>
      <c r="KBW49" s="419"/>
      <c r="KBX49" s="419"/>
      <c r="KBY49" s="419"/>
      <c r="KBZ49" s="419"/>
      <c r="KCA49" s="419"/>
      <c r="KCB49" s="419"/>
      <c r="KCC49" s="419"/>
      <c r="KCD49" s="419"/>
      <c r="KCE49" s="419"/>
      <c r="KCF49" s="419"/>
      <c r="KCG49" s="419"/>
      <c r="KCH49" s="419"/>
      <c r="KCI49" s="419"/>
      <c r="KCJ49" s="419"/>
      <c r="KCK49" s="419"/>
      <c r="KCL49" s="419"/>
      <c r="KCM49" s="419"/>
      <c r="KCN49" s="419"/>
      <c r="KCO49" s="419"/>
      <c r="KCP49" s="419"/>
      <c r="KCQ49" s="419"/>
      <c r="KCR49" s="419"/>
      <c r="KCS49" s="419"/>
      <c r="KCT49" s="419"/>
      <c r="KCU49" s="419"/>
      <c r="KCV49" s="419"/>
      <c r="KCW49" s="419"/>
      <c r="KCX49" s="419"/>
      <c r="KCY49" s="419"/>
      <c r="KCZ49" s="419"/>
      <c r="KDA49" s="419"/>
      <c r="KDB49" s="419"/>
      <c r="KDC49" s="419"/>
      <c r="KDD49" s="419"/>
      <c r="KDE49" s="419"/>
      <c r="KDF49" s="419"/>
      <c r="KDG49" s="419"/>
      <c r="KDH49" s="419"/>
      <c r="KDI49" s="419"/>
      <c r="KDJ49" s="419"/>
      <c r="KDK49" s="419"/>
      <c r="KDL49" s="419"/>
      <c r="KDM49" s="419"/>
      <c r="KDN49" s="419"/>
      <c r="KDO49" s="419"/>
      <c r="KDP49" s="419"/>
      <c r="KDQ49" s="419"/>
      <c r="KDR49" s="419"/>
      <c r="KDS49" s="419"/>
      <c r="KDT49" s="419"/>
      <c r="KDU49" s="419"/>
      <c r="KDV49" s="419"/>
      <c r="KDW49" s="419"/>
      <c r="KDX49" s="419"/>
      <c r="KDY49" s="419"/>
      <c r="KDZ49" s="419"/>
      <c r="KEA49" s="419"/>
      <c r="KEB49" s="419"/>
      <c r="KEC49" s="419"/>
      <c r="KED49" s="419"/>
      <c r="KEE49" s="419"/>
      <c r="KEF49" s="419"/>
      <c r="KEG49" s="419"/>
      <c r="KEH49" s="419"/>
      <c r="KEI49" s="419"/>
      <c r="KEJ49" s="419"/>
      <c r="KEK49" s="419"/>
      <c r="KEL49" s="419"/>
      <c r="KEM49" s="419"/>
      <c r="KEN49" s="419"/>
      <c r="KEO49" s="419"/>
      <c r="KEP49" s="419"/>
      <c r="KEQ49" s="419"/>
      <c r="KER49" s="419"/>
      <c r="KES49" s="419"/>
      <c r="KET49" s="419"/>
      <c r="KEU49" s="419"/>
      <c r="KEV49" s="419"/>
      <c r="KEW49" s="419"/>
      <c r="KEX49" s="419"/>
      <c r="KEY49" s="419"/>
      <c r="KEZ49" s="419"/>
      <c r="KFA49" s="419"/>
      <c r="KFB49" s="419"/>
      <c r="KFC49" s="419"/>
      <c r="KFD49" s="419"/>
      <c r="KFE49" s="419"/>
      <c r="KFF49" s="419"/>
      <c r="KFG49" s="419"/>
      <c r="KFH49" s="419"/>
      <c r="KFI49" s="419"/>
      <c r="KFJ49" s="419"/>
      <c r="KFK49" s="419"/>
      <c r="KFL49" s="419"/>
      <c r="KFM49" s="419"/>
      <c r="KFN49" s="419"/>
      <c r="KFO49" s="419"/>
      <c r="KFP49" s="419"/>
      <c r="KFQ49" s="419"/>
      <c r="KFR49" s="419"/>
      <c r="KFS49" s="419"/>
      <c r="KFT49" s="419"/>
      <c r="KFU49" s="419"/>
      <c r="KFV49" s="419"/>
      <c r="KFW49" s="419"/>
      <c r="KFX49" s="419"/>
      <c r="KFY49" s="419"/>
      <c r="KFZ49" s="419"/>
      <c r="KGA49" s="419"/>
      <c r="KGB49" s="419"/>
      <c r="KGC49" s="419"/>
      <c r="KGD49" s="419"/>
      <c r="KGE49" s="419"/>
      <c r="KGF49" s="419"/>
      <c r="KGG49" s="419"/>
      <c r="KGH49" s="419"/>
      <c r="KGI49" s="419"/>
      <c r="KGJ49" s="419"/>
      <c r="KGK49" s="419"/>
      <c r="KGL49" s="419"/>
      <c r="KGM49" s="419"/>
      <c r="KGN49" s="419"/>
      <c r="KGO49" s="419"/>
      <c r="KGP49" s="419"/>
      <c r="KGQ49" s="419"/>
      <c r="KGR49" s="419"/>
      <c r="KGS49" s="419"/>
      <c r="KGT49" s="419"/>
      <c r="KGU49" s="419"/>
      <c r="KGV49" s="419"/>
      <c r="KGW49" s="419"/>
      <c r="KGX49" s="419"/>
      <c r="KGY49" s="419"/>
      <c r="KGZ49" s="419"/>
      <c r="KHA49" s="419"/>
      <c r="KHB49" s="419"/>
      <c r="KHC49" s="419"/>
      <c r="KHD49" s="419"/>
      <c r="KHE49" s="419"/>
      <c r="KHF49" s="419"/>
      <c r="KHG49" s="419"/>
      <c r="KHH49" s="419"/>
      <c r="KHI49" s="419"/>
      <c r="KHJ49" s="419"/>
      <c r="KHK49" s="419"/>
      <c r="KHL49" s="419"/>
      <c r="KHM49" s="419"/>
      <c r="KHN49" s="419"/>
      <c r="KHO49" s="419"/>
      <c r="KHP49" s="419"/>
      <c r="KHQ49" s="419"/>
      <c r="KHR49" s="419"/>
      <c r="KHS49" s="419"/>
      <c r="KHT49" s="419"/>
      <c r="KHU49" s="419"/>
      <c r="KHV49" s="419"/>
      <c r="KHW49" s="419"/>
      <c r="KHX49" s="419"/>
      <c r="KHY49" s="419"/>
      <c r="KHZ49" s="419"/>
      <c r="KIA49" s="419"/>
      <c r="KIB49" s="419"/>
      <c r="KIC49" s="419"/>
      <c r="KID49" s="419"/>
      <c r="KIE49" s="419"/>
      <c r="KIF49" s="419"/>
      <c r="KIG49" s="419"/>
      <c r="KIH49" s="419"/>
      <c r="KII49" s="419"/>
      <c r="KIJ49" s="419"/>
      <c r="KIK49" s="419"/>
      <c r="KIL49" s="419"/>
      <c r="KIM49" s="419"/>
      <c r="KIN49" s="419"/>
      <c r="KIO49" s="419"/>
      <c r="KIP49" s="419"/>
      <c r="KIQ49" s="419"/>
      <c r="KIR49" s="419"/>
      <c r="KIS49" s="419"/>
      <c r="KIT49" s="419"/>
      <c r="KIU49" s="419"/>
      <c r="KIV49" s="419"/>
      <c r="KIW49" s="419"/>
      <c r="KIX49" s="419"/>
      <c r="KIY49" s="419"/>
      <c r="KIZ49" s="419"/>
      <c r="KJA49" s="419"/>
      <c r="KJB49" s="419"/>
      <c r="KJC49" s="419"/>
      <c r="KJD49" s="419"/>
      <c r="KJE49" s="419"/>
      <c r="KJF49" s="419"/>
      <c r="KJG49" s="419"/>
      <c r="KJH49" s="419"/>
      <c r="KJI49" s="419"/>
      <c r="KJJ49" s="419"/>
      <c r="KJK49" s="419"/>
      <c r="KJL49" s="419"/>
      <c r="KJM49" s="419"/>
      <c r="KJN49" s="419"/>
      <c r="KJO49" s="419"/>
      <c r="KJP49" s="419"/>
      <c r="KJQ49" s="419"/>
      <c r="KJR49" s="419"/>
      <c r="KJS49" s="419"/>
      <c r="KJT49" s="419"/>
      <c r="KJU49" s="419"/>
      <c r="KJV49" s="419"/>
      <c r="KJW49" s="419"/>
      <c r="KJX49" s="419"/>
      <c r="KJY49" s="419"/>
      <c r="KJZ49" s="419"/>
      <c r="KKA49" s="419"/>
      <c r="KKB49" s="419"/>
      <c r="KKC49" s="419"/>
      <c r="KKD49" s="419"/>
      <c r="KKE49" s="419"/>
      <c r="KKF49" s="419"/>
      <c r="KKG49" s="419"/>
      <c r="KKH49" s="419"/>
      <c r="KKI49" s="419"/>
      <c r="KKJ49" s="419"/>
      <c r="KKK49" s="419"/>
      <c r="KKL49" s="419"/>
      <c r="KKM49" s="419"/>
      <c r="KKN49" s="419"/>
      <c r="KKO49" s="419"/>
      <c r="KKP49" s="419"/>
      <c r="KKQ49" s="419"/>
      <c r="KKR49" s="419"/>
      <c r="KKS49" s="419"/>
      <c r="KKT49" s="419"/>
      <c r="KKU49" s="419"/>
      <c r="KKV49" s="419"/>
      <c r="KKW49" s="419"/>
      <c r="KKX49" s="419"/>
      <c r="KKY49" s="419"/>
      <c r="KKZ49" s="419"/>
      <c r="KLA49" s="419"/>
      <c r="KLB49" s="419"/>
      <c r="KLC49" s="419"/>
      <c r="KLD49" s="419"/>
      <c r="KLE49" s="419"/>
      <c r="KLF49" s="419"/>
      <c r="KLG49" s="419"/>
      <c r="KLH49" s="419"/>
      <c r="KLI49" s="419"/>
      <c r="KLJ49" s="419"/>
      <c r="KLK49" s="419"/>
      <c r="KLL49" s="419"/>
      <c r="KLM49" s="419"/>
      <c r="KLN49" s="419"/>
      <c r="KLO49" s="419"/>
      <c r="KLP49" s="419"/>
      <c r="KLQ49" s="419"/>
      <c r="KLR49" s="419"/>
      <c r="KLS49" s="419"/>
      <c r="KLT49" s="419"/>
      <c r="KLU49" s="419"/>
      <c r="KLV49" s="419"/>
      <c r="KLW49" s="419"/>
      <c r="KLX49" s="419"/>
      <c r="KLY49" s="419"/>
      <c r="KLZ49" s="419"/>
      <c r="KMA49" s="419"/>
      <c r="KMB49" s="419"/>
      <c r="KMC49" s="419"/>
      <c r="KMD49" s="419"/>
      <c r="KME49" s="419"/>
      <c r="KMF49" s="419"/>
      <c r="KMG49" s="419"/>
      <c r="KMH49" s="419"/>
      <c r="KMI49" s="419"/>
      <c r="KMJ49" s="419"/>
      <c r="KMK49" s="419"/>
      <c r="KML49" s="419"/>
      <c r="KMM49" s="419"/>
      <c r="KMN49" s="419"/>
      <c r="KMO49" s="419"/>
      <c r="KMP49" s="419"/>
      <c r="KMQ49" s="419"/>
      <c r="KMR49" s="419"/>
      <c r="KMS49" s="419"/>
      <c r="KMT49" s="419"/>
      <c r="KMU49" s="419"/>
      <c r="KMV49" s="419"/>
      <c r="KMW49" s="419"/>
      <c r="KMX49" s="419"/>
      <c r="KMY49" s="419"/>
      <c r="KMZ49" s="419"/>
      <c r="KNA49" s="419"/>
      <c r="KNB49" s="419"/>
      <c r="KNC49" s="419"/>
      <c r="KND49" s="419"/>
      <c r="KNE49" s="419"/>
      <c r="KNF49" s="419"/>
      <c r="KNG49" s="419"/>
      <c r="KNH49" s="419"/>
      <c r="KNI49" s="419"/>
      <c r="KNJ49" s="419"/>
      <c r="KNK49" s="419"/>
      <c r="KNL49" s="419"/>
      <c r="KNM49" s="419"/>
      <c r="KNN49" s="419"/>
      <c r="KNO49" s="419"/>
      <c r="KNP49" s="419"/>
      <c r="KNQ49" s="419"/>
      <c r="KNR49" s="419"/>
      <c r="KNS49" s="419"/>
      <c r="KNT49" s="419"/>
      <c r="KNU49" s="419"/>
      <c r="KNV49" s="419"/>
      <c r="KNW49" s="419"/>
      <c r="KNX49" s="419"/>
      <c r="KNY49" s="419"/>
      <c r="KNZ49" s="419"/>
      <c r="KOA49" s="419"/>
      <c r="KOB49" s="419"/>
      <c r="KOC49" s="419"/>
      <c r="KOD49" s="419"/>
      <c r="KOE49" s="419"/>
      <c r="KOF49" s="419"/>
      <c r="KOG49" s="419"/>
      <c r="KOH49" s="419"/>
      <c r="KOI49" s="419"/>
      <c r="KOJ49" s="419"/>
      <c r="KOK49" s="419"/>
      <c r="KOL49" s="419"/>
      <c r="KOM49" s="419"/>
      <c r="KON49" s="419"/>
      <c r="KOO49" s="419"/>
      <c r="KOP49" s="419"/>
      <c r="KOQ49" s="419"/>
      <c r="KOR49" s="419"/>
      <c r="KOS49" s="419"/>
      <c r="KOT49" s="419"/>
      <c r="KOU49" s="419"/>
      <c r="KOV49" s="419"/>
      <c r="KOW49" s="419"/>
      <c r="KOX49" s="419"/>
      <c r="KOY49" s="419"/>
      <c r="KOZ49" s="419"/>
      <c r="KPA49" s="419"/>
      <c r="KPB49" s="419"/>
      <c r="KPC49" s="419"/>
      <c r="KPD49" s="419"/>
      <c r="KPE49" s="419"/>
      <c r="KPF49" s="419"/>
      <c r="KPG49" s="419"/>
      <c r="KPH49" s="419"/>
      <c r="KPI49" s="419"/>
      <c r="KPJ49" s="419"/>
      <c r="KPK49" s="419"/>
      <c r="KPL49" s="419"/>
      <c r="KPM49" s="419"/>
      <c r="KPN49" s="419"/>
      <c r="KPO49" s="419"/>
      <c r="KPP49" s="419"/>
      <c r="KPQ49" s="419"/>
      <c r="KPR49" s="419"/>
      <c r="KPS49" s="419"/>
      <c r="KPT49" s="419"/>
      <c r="KPU49" s="419"/>
      <c r="KPV49" s="419"/>
      <c r="KPW49" s="419"/>
      <c r="KPX49" s="419"/>
      <c r="KPY49" s="419"/>
      <c r="KPZ49" s="419"/>
      <c r="KQA49" s="419"/>
      <c r="KQB49" s="419"/>
      <c r="KQC49" s="419"/>
      <c r="KQD49" s="419"/>
      <c r="KQE49" s="419"/>
      <c r="KQF49" s="419"/>
      <c r="KQG49" s="419"/>
      <c r="KQH49" s="419"/>
      <c r="KQI49" s="419"/>
      <c r="KQJ49" s="419"/>
      <c r="KQK49" s="419"/>
      <c r="KQL49" s="419"/>
      <c r="KQM49" s="419"/>
      <c r="KQN49" s="419"/>
      <c r="KQO49" s="419"/>
      <c r="KQP49" s="419"/>
      <c r="KQQ49" s="419"/>
      <c r="KQR49" s="419"/>
      <c r="KQS49" s="419"/>
      <c r="KQT49" s="419"/>
      <c r="KQU49" s="419"/>
      <c r="KQV49" s="419"/>
      <c r="KQW49" s="419"/>
      <c r="KQX49" s="419"/>
      <c r="KQY49" s="419"/>
      <c r="KQZ49" s="419"/>
      <c r="KRA49" s="419"/>
      <c r="KRB49" s="419"/>
      <c r="KRC49" s="419"/>
      <c r="KRD49" s="419"/>
      <c r="KRE49" s="419"/>
      <c r="KRF49" s="419"/>
      <c r="KRG49" s="419"/>
      <c r="KRH49" s="419"/>
      <c r="KRI49" s="419"/>
      <c r="KRJ49" s="419"/>
      <c r="KRK49" s="419"/>
      <c r="KRL49" s="419"/>
      <c r="KRM49" s="419"/>
      <c r="KRN49" s="419"/>
      <c r="KRO49" s="419"/>
      <c r="KRP49" s="419"/>
      <c r="KRQ49" s="419"/>
      <c r="KRR49" s="419"/>
      <c r="KRS49" s="419"/>
      <c r="KRT49" s="419"/>
      <c r="KRU49" s="419"/>
      <c r="KRV49" s="419"/>
      <c r="KRW49" s="419"/>
      <c r="KRX49" s="419"/>
      <c r="KRY49" s="419"/>
      <c r="KRZ49" s="419"/>
      <c r="KSA49" s="419"/>
      <c r="KSB49" s="419"/>
      <c r="KSC49" s="419"/>
      <c r="KSD49" s="419"/>
      <c r="KSE49" s="419"/>
      <c r="KSF49" s="419"/>
      <c r="KSG49" s="419"/>
      <c r="KSH49" s="419"/>
      <c r="KSI49" s="419"/>
      <c r="KSJ49" s="419"/>
      <c r="KSK49" s="419"/>
      <c r="KSL49" s="419"/>
      <c r="KSM49" s="419"/>
      <c r="KSN49" s="419"/>
      <c r="KSO49" s="419"/>
      <c r="KSP49" s="419"/>
      <c r="KSQ49" s="419"/>
      <c r="KSR49" s="419"/>
      <c r="KSS49" s="419"/>
      <c r="KST49" s="419"/>
      <c r="KSU49" s="419"/>
      <c r="KSV49" s="419"/>
      <c r="KSW49" s="419"/>
      <c r="KSX49" s="419"/>
      <c r="KSY49" s="419"/>
      <c r="KSZ49" s="419"/>
      <c r="KTA49" s="419"/>
      <c r="KTB49" s="419"/>
      <c r="KTC49" s="419"/>
      <c r="KTD49" s="419"/>
      <c r="KTE49" s="419"/>
      <c r="KTF49" s="419"/>
      <c r="KTG49" s="419"/>
      <c r="KTH49" s="419"/>
      <c r="KTI49" s="419"/>
      <c r="KTJ49" s="419"/>
      <c r="KTK49" s="419"/>
      <c r="KTL49" s="419"/>
      <c r="KTM49" s="419"/>
      <c r="KTN49" s="419"/>
      <c r="KTO49" s="419"/>
      <c r="KTP49" s="419"/>
      <c r="KTQ49" s="419"/>
      <c r="KTR49" s="419"/>
      <c r="KTS49" s="419"/>
      <c r="KTT49" s="419"/>
      <c r="KTU49" s="419"/>
      <c r="KTV49" s="419"/>
      <c r="KTW49" s="419"/>
      <c r="KTX49" s="419"/>
      <c r="KTY49" s="419"/>
      <c r="KTZ49" s="419"/>
      <c r="KUA49" s="419"/>
      <c r="KUB49" s="419"/>
      <c r="KUC49" s="419"/>
      <c r="KUD49" s="419"/>
      <c r="KUE49" s="419"/>
      <c r="KUF49" s="419"/>
      <c r="KUG49" s="419"/>
      <c r="KUH49" s="419"/>
      <c r="KUI49" s="419"/>
      <c r="KUJ49" s="419"/>
      <c r="KUK49" s="419"/>
      <c r="KUL49" s="419"/>
      <c r="KUM49" s="419"/>
      <c r="KUN49" s="419"/>
      <c r="KUO49" s="419"/>
      <c r="KUP49" s="419"/>
      <c r="KUQ49" s="419"/>
      <c r="KUR49" s="419"/>
      <c r="KUS49" s="419"/>
      <c r="KUT49" s="419"/>
      <c r="KUU49" s="419"/>
      <c r="KUV49" s="419"/>
      <c r="KUW49" s="419"/>
      <c r="KUX49" s="419"/>
      <c r="KUY49" s="419"/>
      <c r="KUZ49" s="419"/>
      <c r="KVA49" s="419"/>
      <c r="KVB49" s="419"/>
      <c r="KVC49" s="419"/>
      <c r="KVD49" s="419"/>
      <c r="KVE49" s="419"/>
      <c r="KVF49" s="419"/>
      <c r="KVG49" s="419"/>
      <c r="KVH49" s="419"/>
      <c r="KVI49" s="419"/>
      <c r="KVJ49" s="419"/>
      <c r="KVK49" s="419"/>
      <c r="KVL49" s="419"/>
      <c r="KVM49" s="419"/>
      <c r="KVN49" s="419"/>
      <c r="KVO49" s="419"/>
      <c r="KVP49" s="419"/>
      <c r="KVQ49" s="419"/>
      <c r="KVR49" s="419"/>
      <c r="KVS49" s="419"/>
      <c r="KVT49" s="419"/>
      <c r="KVU49" s="419"/>
      <c r="KVV49" s="419"/>
      <c r="KVW49" s="419"/>
      <c r="KVX49" s="419"/>
      <c r="KVY49" s="419"/>
      <c r="KVZ49" s="419"/>
      <c r="KWA49" s="419"/>
      <c r="KWB49" s="419"/>
      <c r="KWC49" s="419"/>
      <c r="KWD49" s="419"/>
      <c r="KWE49" s="419"/>
      <c r="KWF49" s="419"/>
      <c r="KWG49" s="419"/>
      <c r="KWH49" s="419"/>
      <c r="KWI49" s="419"/>
      <c r="KWJ49" s="419"/>
      <c r="KWK49" s="419"/>
      <c r="KWL49" s="419"/>
      <c r="KWM49" s="419"/>
      <c r="KWN49" s="419"/>
      <c r="KWO49" s="419"/>
      <c r="KWP49" s="419"/>
      <c r="KWQ49" s="419"/>
      <c r="KWR49" s="419"/>
      <c r="KWS49" s="419"/>
      <c r="KWT49" s="419"/>
      <c r="KWU49" s="419"/>
      <c r="KWV49" s="419"/>
      <c r="KWW49" s="419"/>
      <c r="KWX49" s="419"/>
      <c r="KWY49" s="419"/>
      <c r="KWZ49" s="419"/>
      <c r="KXA49" s="419"/>
      <c r="KXB49" s="419"/>
      <c r="KXC49" s="419"/>
      <c r="KXD49" s="419"/>
      <c r="KXE49" s="419"/>
      <c r="KXF49" s="419"/>
      <c r="KXG49" s="419"/>
      <c r="KXH49" s="419"/>
      <c r="KXI49" s="419"/>
      <c r="KXJ49" s="419"/>
      <c r="KXK49" s="419"/>
      <c r="KXL49" s="419"/>
      <c r="KXM49" s="419"/>
      <c r="KXN49" s="419"/>
      <c r="KXO49" s="419"/>
      <c r="KXP49" s="419"/>
      <c r="KXQ49" s="419"/>
      <c r="KXR49" s="419"/>
      <c r="KXS49" s="419"/>
      <c r="KXT49" s="419"/>
      <c r="KXU49" s="419"/>
      <c r="KXV49" s="419"/>
      <c r="KXW49" s="419"/>
      <c r="KXX49" s="419"/>
      <c r="KXY49" s="419"/>
      <c r="KXZ49" s="419"/>
      <c r="KYA49" s="419"/>
      <c r="KYB49" s="419"/>
      <c r="KYC49" s="419"/>
      <c r="KYD49" s="419"/>
      <c r="KYE49" s="419"/>
      <c r="KYF49" s="419"/>
      <c r="KYG49" s="419"/>
      <c r="KYH49" s="419"/>
      <c r="KYI49" s="419"/>
      <c r="KYJ49" s="419"/>
      <c r="KYK49" s="419"/>
      <c r="KYL49" s="419"/>
      <c r="KYM49" s="419"/>
      <c r="KYN49" s="419"/>
      <c r="KYO49" s="419"/>
      <c r="KYP49" s="419"/>
      <c r="KYQ49" s="419"/>
      <c r="KYR49" s="419"/>
      <c r="KYS49" s="419"/>
      <c r="KYT49" s="419"/>
      <c r="KYU49" s="419"/>
      <c r="KYV49" s="419"/>
      <c r="KYW49" s="419"/>
      <c r="KYX49" s="419"/>
      <c r="KYY49" s="419"/>
      <c r="KYZ49" s="419"/>
      <c r="KZA49" s="419"/>
      <c r="KZB49" s="419"/>
      <c r="KZC49" s="419"/>
      <c r="KZD49" s="419"/>
      <c r="KZE49" s="419"/>
      <c r="KZF49" s="419"/>
      <c r="KZG49" s="419"/>
      <c r="KZH49" s="419"/>
      <c r="KZI49" s="419"/>
      <c r="KZJ49" s="419"/>
      <c r="KZK49" s="419"/>
      <c r="KZL49" s="419"/>
      <c r="KZM49" s="419"/>
      <c r="KZN49" s="419"/>
      <c r="KZO49" s="419"/>
      <c r="KZP49" s="419"/>
      <c r="KZQ49" s="419"/>
      <c r="KZR49" s="419"/>
      <c r="KZS49" s="419"/>
      <c r="KZT49" s="419"/>
      <c r="KZU49" s="419"/>
      <c r="KZV49" s="419"/>
      <c r="KZW49" s="419"/>
      <c r="KZX49" s="419"/>
      <c r="KZY49" s="419"/>
      <c r="KZZ49" s="419"/>
      <c r="LAA49" s="419"/>
      <c r="LAB49" s="419"/>
      <c r="LAC49" s="419"/>
      <c r="LAD49" s="419"/>
      <c r="LAE49" s="419"/>
      <c r="LAF49" s="419"/>
      <c r="LAG49" s="419"/>
      <c r="LAH49" s="419"/>
      <c r="LAI49" s="419"/>
      <c r="LAJ49" s="419"/>
      <c r="LAK49" s="419"/>
      <c r="LAL49" s="419"/>
      <c r="LAM49" s="419"/>
      <c r="LAN49" s="419"/>
      <c r="LAO49" s="419"/>
      <c r="LAP49" s="419"/>
      <c r="LAQ49" s="419"/>
      <c r="LAR49" s="419"/>
      <c r="LAS49" s="419"/>
      <c r="LAT49" s="419"/>
      <c r="LAU49" s="419"/>
      <c r="LAV49" s="419"/>
      <c r="LAW49" s="419"/>
      <c r="LAX49" s="419"/>
      <c r="LAY49" s="419"/>
      <c r="LAZ49" s="419"/>
      <c r="LBA49" s="419"/>
      <c r="LBB49" s="419"/>
      <c r="LBC49" s="419"/>
      <c r="LBD49" s="419"/>
      <c r="LBE49" s="419"/>
      <c r="LBF49" s="419"/>
      <c r="LBG49" s="419"/>
      <c r="LBH49" s="419"/>
      <c r="LBI49" s="419"/>
      <c r="LBJ49" s="419"/>
      <c r="LBK49" s="419"/>
      <c r="LBL49" s="419"/>
      <c r="LBM49" s="419"/>
      <c r="LBN49" s="419"/>
      <c r="LBO49" s="419"/>
      <c r="LBP49" s="419"/>
      <c r="LBQ49" s="419"/>
      <c r="LBR49" s="419"/>
      <c r="LBS49" s="419"/>
      <c r="LBT49" s="419"/>
      <c r="LBU49" s="419"/>
      <c r="LBV49" s="419"/>
      <c r="LBW49" s="419"/>
      <c r="LBX49" s="419"/>
      <c r="LBY49" s="419"/>
      <c r="LBZ49" s="419"/>
      <c r="LCA49" s="419"/>
      <c r="LCB49" s="419"/>
      <c r="LCC49" s="419"/>
      <c r="LCD49" s="419"/>
      <c r="LCE49" s="419"/>
      <c r="LCF49" s="419"/>
      <c r="LCG49" s="419"/>
      <c r="LCH49" s="419"/>
      <c r="LCI49" s="419"/>
      <c r="LCJ49" s="419"/>
      <c r="LCK49" s="419"/>
      <c r="LCL49" s="419"/>
      <c r="LCM49" s="419"/>
      <c r="LCN49" s="419"/>
      <c r="LCO49" s="419"/>
      <c r="LCP49" s="419"/>
      <c r="LCQ49" s="419"/>
      <c r="LCR49" s="419"/>
      <c r="LCS49" s="419"/>
      <c r="LCT49" s="419"/>
      <c r="LCU49" s="419"/>
      <c r="LCV49" s="419"/>
      <c r="LCW49" s="419"/>
      <c r="LCX49" s="419"/>
      <c r="LCY49" s="419"/>
      <c r="LCZ49" s="419"/>
      <c r="LDA49" s="419"/>
      <c r="LDB49" s="419"/>
      <c r="LDC49" s="419"/>
      <c r="LDD49" s="419"/>
      <c r="LDE49" s="419"/>
      <c r="LDF49" s="419"/>
      <c r="LDG49" s="419"/>
      <c r="LDH49" s="419"/>
      <c r="LDI49" s="419"/>
      <c r="LDJ49" s="419"/>
      <c r="LDK49" s="419"/>
      <c r="LDL49" s="419"/>
      <c r="LDM49" s="419"/>
      <c r="LDN49" s="419"/>
      <c r="LDO49" s="419"/>
      <c r="LDP49" s="419"/>
      <c r="LDQ49" s="419"/>
      <c r="LDR49" s="419"/>
      <c r="LDS49" s="419"/>
      <c r="LDT49" s="419"/>
      <c r="LDU49" s="419"/>
      <c r="LDV49" s="419"/>
      <c r="LDW49" s="419"/>
      <c r="LDX49" s="419"/>
      <c r="LDY49" s="419"/>
      <c r="LDZ49" s="419"/>
      <c r="LEA49" s="419"/>
      <c r="LEB49" s="419"/>
      <c r="LEC49" s="419"/>
      <c r="LED49" s="419"/>
      <c r="LEE49" s="419"/>
      <c r="LEF49" s="419"/>
      <c r="LEG49" s="419"/>
      <c r="LEH49" s="419"/>
      <c r="LEI49" s="419"/>
      <c r="LEJ49" s="419"/>
      <c r="LEK49" s="419"/>
      <c r="LEL49" s="419"/>
      <c r="LEM49" s="419"/>
      <c r="LEN49" s="419"/>
      <c r="LEO49" s="419"/>
      <c r="LEP49" s="419"/>
      <c r="LEQ49" s="419"/>
      <c r="LER49" s="419"/>
      <c r="LES49" s="419"/>
      <c r="LET49" s="419"/>
      <c r="LEU49" s="419"/>
      <c r="LEV49" s="419"/>
      <c r="LEW49" s="419"/>
      <c r="LEX49" s="419"/>
      <c r="LEY49" s="419"/>
      <c r="LEZ49" s="419"/>
      <c r="LFA49" s="419"/>
      <c r="LFB49" s="419"/>
      <c r="LFC49" s="419"/>
      <c r="LFD49" s="419"/>
      <c r="LFE49" s="419"/>
      <c r="LFF49" s="419"/>
      <c r="LFG49" s="419"/>
      <c r="LFH49" s="419"/>
      <c r="LFI49" s="419"/>
      <c r="LFJ49" s="419"/>
      <c r="LFK49" s="419"/>
      <c r="LFL49" s="419"/>
      <c r="LFM49" s="419"/>
      <c r="LFN49" s="419"/>
      <c r="LFO49" s="419"/>
      <c r="LFP49" s="419"/>
      <c r="LFQ49" s="419"/>
      <c r="LFR49" s="419"/>
      <c r="LFS49" s="419"/>
      <c r="LFT49" s="419"/>
      <c r="LFU49" s="419"/>
      <c r="LFV49" s="419"/>
      <c r="LFW49" s="419"/>
      <c r="LFX49" s="419"/>
      <c r="LFY49" s="419"/>
      <c r="LFZ49" s="419"/>
      <c r="LGA49" s="419"/>
      <c r="LGB49" s="419"/>
      <c r="LGC49" s="419"/>
      <c r="LGD49" s="419"/>
      <c r="LGE49" s="419"/>
      <c r="LGF49" s="419"/>
      <c r="LGG49" s="419"/>
      <c r="LGH49" s="419"/>
      <c r="LGI49" s="419"/>
      <c r="LGJ49" s="419"/>
      <c r="LGK49" s="419"/>
      <c r="LGL49" s="419"/>
      <c r="LGM49" s="419"/>
      <c r="LGN49" s="419"/>
      <c r="LGO49" s="419"/>
      <c r="LGP49" s="419"/>
      <c r="LGQ49" s="419"/>
      <c r="LGR49" s="419"/>
      <c r="LGS49" s="419"/>
      <c r="LGT49" s="419"/>
      <c r="LGU49" s="419"/>
      <c r="LGV49" s="419"/>
      <c r="LGW49" s="419"/>
      <c r="LGX49" s="419"/>
      <c r="LGY49" s="419"/>
      <c r="LGZ49" s="419"/>
      <c r="LHA49" s="419"/>
      <c r="LHB49" s="419"/>
      <c r="LHC49" s="419"/>
      <c r="LHD49" s="419"/>
      <c r="LHE49" s="419"/>
      <c r="LHF49" s="419"/>
      <c r="LHG49" s="419"/>
      <c r="LHH49" s="419"/>
      <c r="LHI49" s="419"/>
      <c r="LHJ49" s="419"/>
      <c r="LHK49" s="419"/>
      <c r="LHL49" s="419"/>
      <c r="LHM49" s="419"/>
      <c r="LHN49" s="419"/>
      <c r="LHO49" s="419"/>
      <c r="LHP49" s="419"/>
      <c r="LHQ49" s="419"/>
      <c r="LHR49" s="419"/>
      <c r="LHS49" s="419"/>
      <c r="LHT49" s="419"/>
      <c r="LHU49" s="419"/>
      <c r="LHV49" s="419"/>
      <c r="LHW49" s="419"/>
      <c r="LHX49" s="419"/>
      <c r="LHY49" s="419"/>
      <c r="LHZ49" s="419"/>
      <c r="LIA49" s="419"/>
      <c r="LIB49" s="419"/>
      <c r="LIC49" s="419"/>
      <c r="LID49" s="419"/>
      <c r="LIE49" s="419"/>
      <c r="LIF49" s="419"/>
      <c r="LIG49" s="419"/>
      <c r="LIH49" s="419"/>
      <c r="LII49" s="419"/>
      <c r="LIJ49" s="419"/>
      <c r="LIK49" s="419"/>
      <c r="LIL49" s="419"/>
      <c r="LIM49" s="419"/>
      <c r="LIN49" s="419"/>
      <c r="LIO49" s="419"/>
      <c r="LIP49" s="419"/>
      <c r="LIQ49" s="419"/>
      <c r="LIR49" s="419"/>
      <c r="LIS49" s="419"/>
      <c r="LIT49" s="419"/>
      <c r="LIU49" s="419"/>
      <c r="LIV49" s="419"/>
      <c r="LIW49" s="419"/>
      <c r="LIX49" s="419"/>
      <c r="LIY49" s="419"/>
      <c r="LIZ49" s="419"/>
      <c r="LJA49" s="419"/>
      <c r="LJB49" s="419"/>
      <c r="LJC49" s="419"/>
      <c r="LJD49" s="419"/>
      <c r="LJE49" s="419"/>
      <c r="LJF49" s="419"/>
      <c r="LJG49" s="419"/>
      <c r="LJH49" s="419"/>
      <c r="LJI49" s="419"/>
      <c r="LJJ49" s="419"/>
      <c r="LJK49" s="419"/>
      <c r="LJL49" s="419"/>
      <c r="LJM49" s="419"/>
      <c r="LJN49" s="419"/>
      <c r="LJO49" s="419"/>
      <c r="LJP49" s="419"/>
      <c r="LJQ49" s="419"/>
      <c r="LJR49" s="419"/>
      <c r="LJS49" s="419"/>
      <c r="LJT49" s="419"/>
      <c r="LJU49" s="419"/>
      <c r="LJV49" s="419"/>
      <c r="LJW49" s="419"/>
      <c r="LJX49" s="419"/>
      <c r="LJY49" s="419"/>
      <c r="LJZ49" s="419"/>
      <c r="LKA49" s="419"/>
      <c r="LKB49" s="419"/>
      <c r="LKC49" s="419"/>
      <c r="LKD49" s="419"/>
      <c r="LKE49" s="419"/>
      <c r="LKF49" s="419"/>
      <c r="LKG49" s="419"/>
      <c r="LKH49" s="419"/>
      <c r="LKI49" s="419"/>
      <c r="LKJ49" s="419"/>
      <c r="LKK49" s="419"/>
      <c r="LKL49" s="419"/>
      <c r="LKM49" s="419"/>
      <c r="LKN49" s="419"/>
      <c r="LKO49" s="419"/>
      <c r="LKP49" s="419"/>
      <c r="LKQ49" s="419"/>
      <c r="LKR49" s="419"/>
      <c r="LKS49" s="419"/>
      <c r="LKT49" s="419"/>
      <c r="LKU49" s="419"/>
      <c r="LKV49" s="419"/>
      <c r="LKW49" s="419"/>
      <c r="LKX49" s="419"/>
      <c r="LKY49" s="419"/>
      <c r="LKZ49" s="419"/>
      <c r="LLA49" s="419"/>
      <c r="LLB49" s="419"/>
      <c r="LLC49" s="419"/>
      <c r="LLD49" s="419"/>
      <c r="LLE49" s="419"/>
      <c r="LLF49" s="419"/>
      <c r="LLG49" s="419"/>
      <c r="LLH49" s="419"/>
      <c r="LLI49" s="419"/>
      <c r="LLJ49" s="419"/>
      <c r="LLK49" s="419"/>
      <c r="LLL49" s="419"/>
      <c r="LLM49" s="419"/>
      <c r="LLN49" s="419"/>
      <c r="LLO49" s="419"/>
      <c r="LLP49" s="419"/>
      <c r="LLQ49" s="419"/>
      <c r="LLR49" s="419"/>
      <c r="LLS49" s="419"/>
      <c r="LLT49" s="419"/>
      <c r="LLU49" s="419"/>
      <c r="LLV49" s="419"/>
      <c r="LLW49" s="419"/>
      <c r="LLX49" s="419"/>
      <c r="LLY49" s="419"/>
      <c r="LLZ49" s="419"/>
      <c r="LMA49" s="419"/>
      <c r="LMB49" s="419"/>
      <c r="LMC49" s="419"/>
      <c r="LMD49" s="419"/>
      <c r="LME49" s="419"/>
      <c r="LMF49" s="419"/>
      <c r="LMG49" s="419"/>
      <c r="LMH49" s="419"/>
      <c r="LMI49" s="419"/>
      <c r="LMJ49" s="419"/>
      <c r="LMK49" s="419"/>
      <c r="LML49" s="419"/>
      <c r="LMM49" s="419"/>
      <c r="LMN49" s="419"/>
      <c r="LMO49" s="419"/>
      <c r="LMP49" s="419"/>
      <c r="LMQ49" s="419"/>
      <c r="LMR49" s="419"/>
      <c r="LMS49" s="419"/>
      <c r="LMT49" s="419"/>
      <c r="LMU49" s="419"/>
      <c r="LMV49" s="419"/>
      <c r="LMW49" s="419"/>
      <c r="LMX49" s="419"/>
      <c r="LMY49" s="419"/>
      <c r="LMZ49" s="419"/>
      <c r="LNA49" s="419"/>
      <c r="LNB49" s="419"/>
      <c r="LNC49" s="419"/>
      <c r="LND49" s="419"/>
      <c r="LNE49" s="419"/>
      <c r="LNF49" s="419"/>
      <c r="LNG49" s="419"/>
      <c r="LNH49" s="419"/>
      <c r="LNI49" s="419"/>
      <c r="LNJ49" s="419"/>
      <c r="LNK49" s="419"/>
      <c r="LNL49" s="419"/>
      <c r="LNM49" s="419"/>
      <c r="LNN49" s="419"/>
      <c r="LNO49" s="419"/>
      <c r="LNP49" s="419"/>
      <c r="LNQ49" s="419"/>
      <c r="LNR49" s="419"/>
      <c r="LNS49" s="419"/>
      <c r="LNT49" s="419"/>
      <c r="LNU49" s="419"/>
      <c r="LNV49" s="419"/>
      <c r="LNW49" s="419"/>
      <c r="LNX49" s="419"/>
      <c r="LNY49" s="419"/>
      <c r="LNZ49" s="419"/>
      <c r="LOA49" s="419"/>
      <c r="LOB49" s="419"/>
      <c r="LOC49" s="419"/>
      <c r="LOD49" s="419"/>
      <c r="LOE49" s="419"/>
      <c r="LOF49" s="419"/>
      <c r="LOG49" s="419"/>
      <c r="LOH49" s="419"/>
      <c r="LOI49" s="419"/>
      <c r="LOJ49" s="419"/>
      <c r="LOK49" s="419"/>
      <c r="LOL49" s="419"/>
      <c r="LOM49" s="419"/>
      <c r="LON49" s="419"/>
      <c r="LOO49" s="419"/>
      <c r="LOP49" s="419"/>
      <c r="LOQ49" s="419"/>
      <c r="LOR49" s="419"/>
      <c r="LOS49" s="419"/>
      <c r="LOT49" s="419"/>
      <c r="LOU49" s="419"/>
      <c r="LOV49" s="419"/>
      <c r="LOW49" s="419"/>
      <c r="LOX49" s="419"/>
      <c r="LOY49" s="419"/>
      <c r="LOZ49" s="419"/>
      <c r="LPA49" s="419"/>
      <c r="LPB49" s="419"/>
      <c r="LPC49" s="419"/>
      <c r="LPD49" s="419"/>
      <c r="LPE49" s="419"/>
      <c r="LPF49" s="419"/>
      <c r="LPG49" s="419"/>
      <c r="LPH49" s="419"/>
      <c r="LPI49" s="419"/>
      <c r="LPJ49" s="419"/>
      <c r="LPK49" s="419"/>
      <c r="LPL49" s="419"/>
      <c r="LPM49" s="419"/>
      <c r="LPN49" s="419"/>
      <c r="LPO49" s="419"/>
      <c r="LPP49" s="419"/>
      <c r="LPQ49" s="419"/>
      <c r="LPR49" s="419"/>
      <c r="LPS49" s="419"/>
      <c r="LPT49" s="419"/>
      <c r="LPU49" s="419"/>
      <c r="LPV49" s="419"/>
      <c r="LPW49" s="419"/>
      <c r="LPX49" s="419"/>
      <c r="LPY49" s="419"/>
      <c r="LPZ49" s="419"/>
      <c r="LQA49" s="419"/>
      <c r="LQB49" s="419"/>
      <c r="LQC49" s="419"/>
      <c r="LQD49" s="419"/>
      <c r="LQE49" s="419"/>
      <c r="LQF49" s="419"/>
      <c r="LQG49" s="419"/>
      <c r="LQH49" s="419"/>
      <c r="LQI49" s="419"/>
      <c r="LQJ49" s="419"/>
      <c r="LQK49" s="419"/>
      <c r="LQL49" s="419"/>
      <c r="LQM49" s="419"/>
      <c r="LQN49" s="419"/>
      <c r="LQO49" s="419"/>
      <c r="LQP49" s="419"/>
      <c r="LQQ49" s="419"/>
      <c r="LQR49" s="419"/>
      <c r="LQS49" s="419"/>
      <c r="LQT49" s="419"/>
      <c r="LQU49" s="419"/>
      <c r="LQV49" s="419"/>
      <c r="LQW49" s="419"/>
      <c r="LQX49" s="419"/>
      <c r="LQY49" s="419"/>
      <c r="LQZ49" s="419"/>
      <c r="LRA49" s="419"/>
      <c r="LRB49" s="419"/>
      <c r="LRC49" s="419"/>
      <c r="LRD49" s="419"/>
      <c r="LRE49" s="419"/>
      <c r="LRF49" s="419"/>
      <c r="LRG49" s="419"/>
      <c r="LRH49" s="419"/>
      <c r="LRI49" s="419"/>
      <c r="LRJ49" s="419"/>
      <c r="LRK49" s="419"/>
      <c r="LRL49" s="419"/>
      <c r="LRM49" s="419"/>
      <c r="LRN49" s="419"/>
      <c r="LRO49" s="419"/>
      <c r="LRP49" s="419"/>
      <c r="LRQ49" s="419"/>
      <c r="LRR49" s="419"/>
      <c r="LRS49" s="419"/>
      <c r="LRT49" s="419"/>
      <c r="LRU49" s="419"/>
      <c r="LRV49" s="419"/>
      <c r="LRW49" s="419"/>
      <c r="LRX49" s="419"/>
      <c r="LRY49" s="419"/>
      <c r="LRZ49" s="419"/>
      <c r="LSA49" s="419"/>
      <c r="LSB49" s="419"/>
      <c r="LSC49" s="419"/>
      <c r="LSD49" s="419"/>
      <c r="LSE49" s="419"/>
      <c r="LSF49" s="419"/>
      <c r="LSG49" s="419"/>
      <c r="LSH49" s="419"/>
      <c r="LSI49" s="419"/>
      <c r="LSJ49" s="419"/>
      <c r="LSK49" s="419"/>
      <c r="LSL49" s="419"/>
      <c r="LSM49" s="419"/>
      <c r="LSN49" s="419"/>
      <c r="LSO49" s="419"/>
      <c r="LSP49" s="419"/>
      <c r="LSQ49" s="419"/>
      <c r="LSR49" s="419"/>
      <c r="LSS49" s="419"/>
      <c r="LST49" s="419"/>
      <c r="LSU49" s="419"/>
      <c r="LSV49" s="419"/>
      <c r="LSW49" s="419"/>
      <c r="LSX49" s="419"/>
      <c r="LSY49" s="419"/>
      <c r="LSZ49" s="419"/>
      <c r="LTA49" s="419"/>
      <c r="LTB49" s="419"/>
      <c r="LTC49" s="419"/>
      <c r="LTD49" s="419"/>
      <c r="LTE49" s="419"/>
      <c r="LTF49" s="419"/>
      <c r="LTG49" s="419"/>
      <c r="LTH49" s="419"/>
      <c r="LTI49" s="419"/>
      <c r="LTJ49" s="419"/>
      <c r="LTK49" s="419"/>
      <c r="LTL49" s="419"/>
      <c r="LTM49" s="419"/>
      <c r="LTN49" s="419"/>
      <c r="LTO49" s="419"/>
      <c r="LTP49" s="419"/>
      <c r="LTQ49" s="419"/>
      <c r="LTR49" s="419"/>
      <c r="LTS49" s="419"/>
      <c r="LTT49" s="419"/>
      <c r="LTU49" s="419"/>
      <c r="LTV49" s="419"/>
      <c r="LTW49" s="419"/>
      <c r="LTX49" s="419"/>
      <c r="LTY49" s="419"/>
      <c r="LTZ49" s="419"/>
      <c r="LUA49" s="419"/>
      <c r="LUB49" s="419"/>
      <c r="LUC49" s="419"/>
      <c r="LUD49" s="419"/>
      <c r="LUE49" s="419"/>
      <c r="LUF49" s="419"/>
      <c r="LUG49" s="419"/>
      <c r="LUH49" s="419"/>
      <c r="LUI49" s="419"/>
      <c r="LUJ49" s="419"/>
      <c r="LUK49" s="419"/>
      <c r="LUL49" s="419"/>
      <c r="LUM49" s="419"/>
      <c r="LUN49" s="419"/>
      <c r="LUO49" s="419"/>
      <c r="LUP49" s="419"/>
      <c r="LUQ49" s="419"/>
      <c r="LUR49" s="419"/>
      <c r="LUS49" s="419"/>
      <c r="LUT49" s="419"/>
      <c r="LUU49" s="419"/>
      <c r="LUV49" s="419"/>
      <c r="LUW49" s="419"/>
      <c r="LUX49" s="419"/>
      <c r="LUY49" s="419"/>
      <c r="LUZ49" s="419"/>
      <c r="LVA49" s="419"/>
      <c r="LVB49" s="419"/>
      <c r="LVC49" s="419"/>
      <c r="LVD49" s="419"/>
      <c r="LVE49" s="419"/>
      <c r="LVF49" s="419"/>
      <c r="LVG49" s="419"/>
      <c r="LVH49" s="419"/>
      <c r="LVI49" s="419"/>
      <c r="LVJ49" s="419"/>
      <c r="LVK49" s="419"/>
      <c r="LVL49" s="419"/>
      <c r="LVM49" s="419"/>
      <c r="LVN49" s="419"/>
      <c r="LVO49" s="419"/>
      <c r="LVP49" s="419"/>
      <c r="LVQ49" s="419"/>
      <c r="LVR49" s="419"/>
      <c r="LVS49" s="419"/>
      <c r="LVT49" s="419"/>
      <c r="LVU49" s="419"/>
      <c r="LVV49" s="419"/>
      <c r="LVW49" s="419"/>
      <c r="LVX49" s="419"/>
      <c r="LVY49" s="419"/>
      <c r="LVZ49" s="419"/>
      <c r="LWA49" s="419"/>
      <c r="LWB49" s="419"/>
      <c r="LWC49" s="419"/>
      <c r="LWD49" s="419"/>
      <c r="LWE49" s="419"/>
      <c r="LWF49" s="419"/>
      <c r="LWG49" s="419"/>
      <c r="LWH49" s="419"/>
      <c r="LWI49" s="419"/>
      <c r="LWJ49" s="419"/>
      <c r="LWK49" s="419"/>
      <c r="LWL49" s="419"/>
      <c r="LWM49" s="419"/>
      <c r="LWN49" s="419"/>
      <c r="LWO49" s="419"/>
      <c r="LWP49" s="419"/>
      <c r="LWQ49" s="419"/>
      <c r="LWR49" s="419"/>
      <c r="LWS49" s="419"/>
      <c r="LWT49" s="419"/>
      <c r="LWU49" s="419"/>
      <c r="LWV49" s="419"/>
      <c r="LWW49" s="419"/>
      <c r="LWX49" s="419"/>
      <c r="LWY49" s="419"/>
      <c r="LWZ49" s="419"/>
      <c r="LXA49" s="419"/>
      <c r="LXB49" s="419"/>
      <c r="LXC49" s="419"/>
      <c r="LXD49" s="419"/>
      <c r="LXE49" s="419"/>
      <c r="LXF49" s="419"/>
      <c r="LXG49" s="419"/>
      <c r="LXH49" s="419"/>
      <c r="LXI49" s="419"/>
      <c r="LXJ49" s="419"/>
      <c r="LXK49" s="419"/>
      <c r="LXL49" s="419"/>
      <c r="LXM49" s="419"/>
      <c r="LXN49" s="419"/>
      <c r="LXO49" s="419"/>
      <c r="LXP49" s="419"/>
      <c r="LXQ49" s="419"/>
      <c r="LXR49" s="419"/>
      <c r="LXS49" s="419"/>
      <c r="LXT49" s="419"/>
      <c r="LXU49" s="419"/>
      <c r="LXV49" s="419"/>
      <c r="LXW49" s="419"/>
      <c r="LXX49" s="419"/>
      <c r="LXY49" s="419"/>
      <c r="LXZ49" s="419"/>
      <c r="LYA49" s="419"/>
      <c r="LYB49" s="419"/>
      <c r="LYC49" s="419"/>
      <c r="LYD49" s="419"/>
      <c r="LYE49" s="419"/>
      <c r="LYF49" s="419"/>
      <c r="LYG49" s="419"/>
      <c r="LYH49" s="419"/>
      <c r="LYI49" s="419"/>
      <c r="LYJ49" s="419"/>
      <c r="LYK49" s="419"/>
      <c r="LYL49" s="419"/>
      <c r="LYM49" s="419"/>
      <c r="LYN49" s="419"/>
      <c r="LYO49" s="419"/>
      <c r="LYP49" s="419"/>
      <c r="LYQ49" s="419"/>
      <c r="LYR49" s="419"/>
      <c r="LYS49" s="419"/>
      <c r="LYT49" s="419"/>
      <c r="LYU49" s="419"/>
      <c r="LYV49" s="419"/>
      <c r="LYW49" s="419"/>
      <c r="LYX49" s="419"/>
      <c r="LYY49" s="419"/>
      <c r="LYZ49" s="419"/>
      <c r="LZA49" s="419"/>
      <c r="LZB49" s="419"/>
      <c r="LZC49" s="419"/>
      <c r="LZD49" s="419"/>
      <c r="LZE49" s="419"/>
      <c r="LZF49" s="419"/>
      <c r="LZG49" s="419"/>
      <c r="LZH49" s="419"/>
      <c r="LZI49" s="419"/>
      <c r="LZJ49" s="419"/>
      <c r="LZK49" s="419"/>
      <c r="LZL49" s="419"/>
      <c r="LZM49" s="419"/>
      <c r="LZN49" s="419"/>
      <c r="LZO49" s="419"/>
      <c r="LZP49" s="419"/>
      <c r="LZQ49" s="419"/>
      <c r="LZR49" s="419"/>
      <c r="LZS49" s="419"/>
      <c r="LZT49" s="419"/>
      <c r="LZU49" s="419"/>
      <c r="LZV49" s="419"/>
      <c r="LZW49" s="419"/>
      <c r="LZX49" s="419"/>
      <c r="LZY49" s="419"/>
      <c r="LZZ49" s="419"/>
      <c r="MAA49" s="419"/>
      <c r="MAB49" s="419"/>
      <c r="MAC49" s="419"/>
      <c r="MAD49" s="419"/>
      <c r="MAE49" s="419"/>
      <c r="MAF49" s="419"/>
      <c r="MAG49" s="419"/>
      <c r="MAH49" s="419"/>
      <c r="MAI49" s="419"/>
      <c r="MAJ49" s="419"/>
      <c r="MAK49" s="419"/>
      <c r="MAL49" s="419"/>
      <c r="MAM49" s="419"/>
      <c r="MAN49" s="419"/>
      <c r="MAO49" s="419"/>
      <c r="MAP49" s="419"/>
      <c r="MAQ49" s="419"/>
      <c r="MAR49" s="419"/>
      <c r="MAS49" s="419"/>
      <c r="MAT49" s="419"/>
      <c r="MAU49" s="419"/>
      <c r="MAV49" s="419"/>
      <c r="MAW49" s="419"/>
      <c r="MAX49" s="419"/>
      <c r="MAY49" s="419"/>
      <c r="MAZ49" s="419"/>
      <c r="MBA49" s="419"/>
      <c r="MBB49" s="419"/>
      <c r="MBC49" s="419"/>
      <c r="MBD49" s="419"/>
      <c r="MBE49" s="419"/>
      <c r="MBF49" s="419"/>
      <c r="MBG49" s="419"/>
      <c r="MBH49" s="419"/>
      <c r="MBI49" s="419"/>
      <c r="MBJ49" s="419"/>
      <c r="MBK49" s="419"/>
      <c r="MBL49" s="419"/>
      <c r="MBM49" s="419"/>
      <c r="MBN49" s="419"/>
      <c r="MBO49" s="419"/>
      <c r="MBP49" s="419"/>
      <c r="MBQ49" s="419"/>
      <c r="MBR49" s="419"/>
      <c r="MBS49" s="419"/>
      <c r="MBT49" s="419"/>
      <c r="MBU49" s="419"/>
      <c r="MBV49" s="419"/>
      <c r="MBW49" s="419"/>
      <c r="MBX49" s="419"/>
      <c r="MBY49" s="419"/>
      <c r="MBZ49" s="419"/>
      <c r="MCA49" s="419"/>
      <c r="MCB49" s="419"/>
      <c r="MCC49" s="419"/>
      <c r="MCD49" s="419"/>
      <c r="MCE49" s="419"/>
      <c r="MCF49" s="419"/>
      <c r="MCG49" s="419"/>
      <c r="MCH49" s="419"/>
      <c r="MCI49" s="419"/>
      <c r="MCJ49" s="419"/>
      <c r="MCK49" s="419"/>
      <c r="MCL49" s="419"/>
      <c r="MCM49" s="419"/>
      <c r="MCN49" s="419"/>
      <c r="MCO49" s="419"/>
      <c r="MCP49" s="419"/>
      <c r="MCQ49" s="419"/>
      <c r="MCR49" s="419"/>
      <c r="MCS49" s="419"/>
      <c r="MCT49" s="419"/>
      <c r="MCU49" s="419"/>
      <c r="MCV49" s="419"/>
      <c r="MCW49" s="419"/>
      <c r="MCX49" s="419"/>
      <c r="MCY49" s="419"/>
      <c r="MCZ49" s="419"/>
      <c r="MDA49" s="419"/>
      <c r="MDB49" s="419"/>
      <c r="MDC49" s="419"/>
      <c r="MDD49" s="419"/>
      <c r="MDE49" s="419"/>
      <c r="MDF49" s="419"/>
      <c r="MDG49" s="419"/>
      <c r="MDH49" s="419"/>
      <c r="MDI49" s="419"/>
      <c r="MDJ49" s="419"/>
      <c r="MDK49" s="419"/>
      <c r="MDL49" s="419"/>
      <c r="MDM49" s="419"/>
      <c r="MDN49" s="419"/>
      <c r="MDO49" s="419"/>
      <c r="MDP49" s="419"/>
      <c r="MDQ49" s="419"/>
      <c r="MDR49" s="419"/>
      <c r="MDS49" s="419"/>
      <c r="MDT49" s="419"/>
      <c r="MDU49" s="419"/>
      <c r="MDV49" s="419"/>
      <c r="MDW49" s="419"/>
      <c r="MDX49" s="419"/>
      <c r="MDY49" s="419"/>
      <c r="MDZ49" s="419"/>
      <c r="MEA49" s="419"/>
      <c r="MEB49" s="419"/>
      <c r="MEC49" s="419"/>
      <c r="MED49" s="419"/>
      <c r="MEE49" s="419"/>
      <c r="MEF49" s="419"/>
      <c r="MEG49" s="419"/>
      <c r="MEH49" s="419"/>
      <c r="MEI49" s="419"/>
      <c r="MEJ49" s="419"/>
      <c r="MEK49" s="419"/>
      <c r="MEL49" s="419"/>
      <c r="MEM49" s="419"/>
      <c r="MEN49" s="419"/>
      <c r="MEO49" s="419"/>
      <c r="MEP49" s="419"/>
      <c r="MEQ49" s="419"/>
      <c r="MER49" s="419"/>
      <c r="MES49" s="419"/>
      <c r="MET49" s="419"/>
      <c r="MEU49" s="419"/>
      <c r="MEV49" s="419"/>
      <c r="MEW49" s="419"/>
      <c r="MEX49" s="419"/>
      <c r="MEY49" s="419"/>
      <c r="MEZ49" s="419"/>
      <c r="MFA49" s="419"/>
      <c r="MFB49" s="419"/>
      <c r="MFC49" s="419"/>
      <c r="MFD49" s="419"/>
      <c r="MFE49" s="419"/>
      <c r="MFF49" s="419"/>
      <c r="MFG49" s="419"/>
      <c r="MFH49" s="419"/>
      <c r="MFI49" s="419"/>
      <c r="MFJ49" s="419"/>
      <c r="MFK49" s="419"/>
      <c r="MFL49" s="419"/>
      <c r="MFM49" s="419"/>
      <c r="MFN49" s="419"/>
      <c r="MFO49" s="419"/>
      <c r="MFP49" s="419"/>
      <c r="MFQ49" s="419"/>
      <c r="MFR49" s="419"/>
      <c r="MFS49" s="419"/>
      <c r="MFT49" s="419"/>
      <c r="MFU49" s="419"/>
      <c r="MFV49" s="419"/>
      <c r="MFW49" s="419"/>
      <c r="MFX49" s="419"/>
      <c r="MFY49" s="419"/>
      <c r="MFZ49" s="419"/>
      <c r="MGA49" s="419"/>
      <c r="MGB49" s="419"/>
      <c r="MGC49" s="419"/>
      <c r="MGD49" s="419"/>
      <c r="MGE49" s="419"/>
      <c r="MGF49" s="419"/>
      <c r="MGG49" s="419"/>
      <c r="MGH49" s="419"/>
      <c r="MGI49" s="419"/>
      <c r="MGJ49" s="419"/>
      <c r="MGK49" s="419"/>
      <c r="MGL49" s="419"/>
      <c r="MGM49" s="419"/>
      <c r="MGN49" s="419"/>
      <c r="MGO49" s="419"/>
      <c r="MGP49" s="419"/>
      <c r="MGQ49" s="419"/>
      <c r="MGR49" s="419"/>
      <c r="MGS49" s="419"/>
      <c r="MGT49" s="419"/>
      <c r="MGU49" s="419"/>
      <c r="MGV49" s="419"/>
      <c r="MGW49" s="419"/>
      <c r="MGX49" s="419"/>
      <c r="MGY49" s="419"/>
      <c r="MGZ49" s="419"/>
      <c r="MHA49" s="419"/>
      <c r="MHB49" s="419"/>
      <c r="MHC49" s="419"/>
      <c r="MHD49" s="419"/>
      <c r="MHE49" s="419"/>
      <c r="MHF49" s="419"/>
      <c r="MHG49" s="419"/>
      <c r="MHH49" s="419"/>
      <c r="MHI49" s="419"/>
      <c r="MHJ49" s="419"/>
      <c r="MHK49" s="419"/>
      <c r="MHL49" s="419"/>
      <c r="MHM49" s="419"/>
      <c r="MHN49" s="419"/>
      <c r="MHO49" s="419"/>
      <c r="MHP49" s="419"/>
      <c r="MHQ49" s="419"/>
      <c r="MHR49" s="419"/>
      <c r="MHS49" s="419"/>
      <c r="MHT49" s="419"/>
      <c r="MHU49" s="419"/>
      <c r="MHV49" s="419"/>
      <c r="MHW49" s="419"/>
      <c r="MHX49" s="419"/>
      <c r="MHY49" s="419"/>
      <c r="MHZ49" s="419"/>
      <c r="MIA49" s="419"/>
      <c r="MIB49" s="419"/>
      <c r="MIC49" s="419"/>
      <c r="MID49" s="419"/>
      <c r="MIE49" s="419"/>
      <c r="MIF49" s="419"/>
      <c r="MIG49" s="419"/>
      <c r="MIH49" s="419"/>
      <c r="MII49" s="419"/>
      <c r="MIJ49" s="419"/>
      <c r="MIK49" s="419"/>
      <c r="MIL49" s="419"/>
      <c r="MIM49" s="419"/>
      <c r="MIN49" s="419"/>
      <c r="MIO49" s="419"/>
      <c r="MIP49" s="419"/>
      <c r="MIQ49" s="419"/>
      <c r="MIR49" s="419"/>
      <c r="MIS49" s="419"/>
      <c r="MIT49" s="419"/>
      <c r="MIU49" s="419"/>
      <c r="MIV49" s="419"/>
      <c r="MIW49" s="419"/>
      <c r="MIX49" s="419"/>
      <c r="MIY49" s="419"/>
      <c r="MIZ49" s="419"/>
      <c r="MJA49" s="419"/>
      <c r="MJB49" s="419"/>
      <c r="MJC49" s="419"/>
      <c r="MJD49" s="419"/>
      <c r="MJE49" s="419"/>
      <c r="MJF49" s="419"/>
      <c r="MJG49" s="419"/>
      <c r="MJH49" s="419"/>
      <c r="MJI49" s="419"/>
      <c r="MJJ49" s="419"/>
      <c r="MJK49" s="419"/>
      <c r="MJL49" s="419"/>
      <c r="MJM49" s="419"/>
      <c r="MJN49" s="419"/>
      <c r="MJO49" s="419"/>
      <c r="MJP49" s="419"/>
      <c r="MJQ49" s="419"/>
      <c r="MJR49" s="419"/>
      <c r="MJS49" s="419"/>
      <c r="MJT49" s="419"/>
      <c r="MJU49" s="419"/>
      <c r="MJV49" s="419"/>
      <c r="MJW49" s="419"/>
      <c r="MJX49" s="419"/>
      <c r="MJY49" s="419"/>
      <c r="MJZ49" s="419"/>
      <c r="MKA49" s="419"/>
      <c r="MKB49" s="419"/>
      <c r="MKC49" s="419"/>
      <c r="MKD49" s="419"/>
      <c r="MKE49" s="419"/>
      <c r="MKF49" s="419"/>
      <c r="MKG49" s="419"/>
      <c r="MKH49" s="419"/>
      <c r="MKI49" s="419"/>
      <c r="MKJ49" s="419"/>
      <c r="MKK49" s="419"/>
      <c r="MKL49" s="419"/>
      <c r="MKM49" s="419"/>
      <c r="MKN49" s="419"/>
      <c r="MKO49" s="419"/>
      <c r="MKP49" s="419"/>
      <c r="MKQ49" s="419"/>
      <c r="MKR49" s="419"/>
      <c r="MKS49" s="419"/>
      <c r="MKT49" s="419"/>
      <c r="MKU49" s="419"/>
      <c r="MKV49" s="419"/>
      <c r="MKW49" s="419"/>
      <c r="MKX49" s="419"/>
      <c r="MKY49" s="419"/>
      <c r="MKZ49" s="419"/>
      <c r="MLA49" s="419"/>
      <c r="MLB49" s="419"/>
      <c r="MLC49" s="419"/>
      <c r="MLD49" s="419"/>
      <c r="MLE49" s="419"/>
      <c r="MLF49" s="419"/>
      <c r="MLG49" s="419"/>
      <c r="MLH49" s="419"/>
      <c r="MLI49" s="419"/>
      <c r="MLJ49" s="419"/>
      <c r="MLK49" s="419"/>
      <c r="MLL49" s="419"/>
      <c r="MLM49" s="419"/>
      <c r="MLN49" s="419"/>
      <c r="MLO49" s="419"/>
      <c r="MLP49" s="419"/>
      <c r="MLQ49" s="419"/>
      <c r="MLR49" s="419"/>
      <c r="MLS49" s="419"/>
      <c r="MLT49" s="419"/>
      <c r="MLU49" s="419"/>
      <c r="MLV49" s="419"/>
      <c r="MLW49" s="419"/>
      <c r="MLX49" s="419"/>
      <c r="MLY49" s="419"/>
      <c r="MLZ49" s="419"/>
      <c r="MMA49" s="419"/>
      <c r="MMB49" s="419"/>
      <c r="MMC49" s="419"/>
      <c r="MMD49" s="419"/>
      <c r="MME49" s="419"/>
      <c r="MMF49" s="419"/>
      <c r="MMG49" s="419"/>
      <c r="MMH49" s="419"/>
      <c r="MMI49" s="419"/>
      <c r="MMJ49" s="419"/>
      <c r="MMK49" s="419"/>
      <c r="MML49" s="419"/>
      <c r="MMM49" s="419"/>
      <c r="MMN49" s="419"/>
      <c r="MMO49" s="419"/>
      <c r="MMP49" s="419"/>
      <c r="MMQ49" s="419"/>
      <c r="MMR49" s="419"/>
      <c r="MMS49" s="419"/>
      <c r="MMT49" s="419"/>
      <c r="MMU49" s="419"/>
      <c r="MMV49" s="419"/>
      <c r="MMW49" s="419"/>
      <c r="MMX49" s="419"/>
      <c r="MMY49" s="419"/>
      <c r="MMZ49" s="419"/>
      <c r="MNA49" s="419"/>
      <c r="MNB49" s="419"/>
      <c r="MNC49" s="419"/>
      <c r="MND49" s="419"/>
      <c r="MNE49" s="419"/>
      <c r="MNF49" s="419"/>
      <c r="MNG49" s="419"/>
      <c r="MNH49" s="419"/>
      <c r="MNI49" s="419"/>
      <c r="MNJ49" s="419"/>
      <c r="MNK49" s="419"/>
      <c r="MNL49" s="419"/>
      <c r="MNM49" s="419"/>
      <c r="MNN49" s="419"/>
      <c r="MNO49" s="419"/>
      <c r="MNP49" s="419"/>
      <c r="MNQ49" s="419"/>
      <c r="MNR49" s="419"/>
      <c r="MNS49" s="419"/>
      <c r="MNT49" s="419"/>
      <c r="MNU49" s="419"/>
      <c r="MNV49" s="419"/>
      <c r="MNW49" s="419"/>
      <c r="MNX49" s="419"/>
      <c r="MNY49" s="419"/>
      <c r="MNZ49" s="419"/>
      <c r="MOA49" s="419"/>
      <c r="MOB49" s="419"/>
      <c r="MOC49" s="419"/>
      <c r="MOD49" s="419"/>
      <c r="MOE49" s="419"/>
      <c r="MOF49" s="419"/>
      <c r="MOG49" s="419"/>
      <c r="MOH49" s="419"/>
      <c r="MOI49" s="419"/>
      <c r="MOJ49" s="419"/>
      <c r="MOK49" s="419"/>
      <c r="MOL49" s="419"/>
      <c r="MOM49" s="419"/>
      <c r="MON49" s="419"/>
      <c r="MOO49" s="419"/>
      <c r="MOP49" s="419"/>
      <c r="MOQ49" s="419"/>
      <c r="MOR49" s="419"/>
      <c r="MOS49" s="419"/>
      <c r="MOT49" s="419"/>
      <c r="MOU49" s="419"/>
      <c r="MOV49" s="419"/>
      <c r="MOW49" s="419"/>
      <c r="MOX49" s="419"/>
      <c r="MOY49" s="419"/>
      <c r="MOZ49" s="419"/>
      <c r="MPA49" s="419"/>
      <c r="MPB49" s="419"/>
      <c r="MPC49" s="419"/>
      <c r="MPD49" s="419"/>
      <c r="MPE49" s="419"/>
      <c r="MPF49" s="419"/>
      <c r="MPG49" s="419"/>
      <c r="MPH49" s="419"/>
      <c r="MPI49" s="419"/>
      <c r="MPJ49" s="419"/>
      <c r="MPK49" s="419"/>
      <c r="MPL49" s="419"/>
      <c r="MPM49" s="419"/>
      <c r="MPN49" s="419"/>
      <c r="MPO49" s="419"/>
      <c r="MPP49" s="419"/>
      <c r="MPQ49" s="419"/>
      <c r="MPR49" s="419"/>
      <c r="MPS49" s="419"/>
      <c r="MPT49" s="419"/>
      <c r="MPU49" s="419"/>
      <c r="MPV49" s="419"/>
      <c r="MPW49" s="419"/>
      <c r="MPX49" s="419"/>
      <c r="MPY49" s="419"/>
      <c r="MPZ49" s="419"/>
      <c r="MQA49" s="419"/>
      <c r="MQB49" s="419"/>
      <c r="MQC49" s="419"/>
      <c r="MQD49" s="419"/>
      <c r="MQE49" s="419"/>
      <c r="MQF49" s="419"/>
      <c r="MQG49" s="419"/>
      <c r="MQH49" s="419"/>
      <c r="MQI49" s="419"/>
      <c r="MQJ49" s="419"/>
      <c r="MQK49" s="419"/>
      <c r="MQL49" s="419"/>
      <c r="MQM49" s="419"/>
      <c r="MQN49" s="419"/>
      <c r="MQO49" s="419"/>
      <c r="MQP49" s="419"/>
      <c r="MQQ49" s="419"/>
      <c r="MQR49" s="419"/>
      <c r="MQS49" s="419"/>
      <c r="MQT49" s="419"/>
      <c r="MQU49" s="419"/>
      <c r="MQV49" s="419"/>
      <c r="MQW49" s="419"/>
      <c r="MQX49" s="419"/>
      <c r="MQY49" s="419"/>
      <c r="MQZ49" s="419"/>
      <c r="MRA49" s="419"/>
      <c r="MRB49" s="419"/>
      <c r="MRC49" s="419"/>
      <c r="MRD49" s="419"/>
      <c r="MRE49" s="419"/>
      <c r="MRF49" s="419"/>
      <c r="MRG49" s="419"/>
      <c r="MRH49" s="419"/>
      <c r="MRI49" s="419"/>
      <c r="MRJ49" s="419"/>
      <c r="MRK49" s="419"/>
      <c r="MRL49" s="419"/>
      <c r="MRM49" s="419"/>
      <c r="MRN49" s="419"/>
      <c r="MRO49" s="419"/>
      <c r="MRP49" s="419"/>
      <c r="MRQ49" s="419"/>
      <c r="MRR49" s="419"/>
      <c r="MRS49" s="419"/>
      <c r="MRT49" s="419"/>
      <c r="MRU49" s="419"/>
      <c r="MRV49" s="419"/>
      <c r="MRW49" s="419"/>
      <c r="MRX49" s="419"/>
      <c r="MRY49" s="419"/>
      <c r="MRZ49" s="419"/>
      <c r="MSA49" s="419"/>
      <c r="MSB49" s="419"/>
      <c r="MSC49" s="419"/>
      <c r="MSD49" s="419"/>
      <c r="MSE49" s="419"/>
      <c r="MSF49" s="419"/>
      <c r="MSG49" s="419"/>
      <c r="MSH49" s="419"/>
      <c r="MSI49" s="419"/>
      <c r="MSJ49" s="419"/>
      <c r="MSK49" s="419"/>
      <c r="MSL49" s="419"/>
      <c r="MSM49" s="419"/>
      <c r="MSN49" s="419"/>
      <c r="MSO49" s="419"/>
      <c r="MSP49" s="419"/>
      <c r="MSQ49" s="419"/>
      <c r="MSR49" s="419"/>
      <c r="MSS49" s="419"/>
      <c r="MST49" s="419"/>
      <c r="MSU49" s="419"/>
      <c r="MSV49" s="419"/>
      <c r="MSW49" s="419"/>
      <c r="MSX49" s="419"/>
      <c r="MSY49" s="419"/>
      <c r="MSZ49" s="419"/>
      <c r="MTA49" s="419"/>
      <c r="MTB49" s="419"/>
      <c r="MTC49" s="419"/>
      <c r="MTD49" s="419"/>
      <c r="MTE49" s="419"/>
      <c r="MTF49" s="419"/>
      <c r="MTG49" s="419"/>
      <c r="MTH49" s="419"/>
      <c r="MTI49" s="419"/>
      <c r="MTJ49" s="419"/>
      <c r="MTK49" s="419"/>
      <c r="MTL49" s="419"/>
      <c r="MTM49" s="419"/>
      <c r="MTN49" s="419"/>
      <c r="MTO49" s="419"/>
      <c r="MTP49" s="419"/>
      <c r="MTQ49" s="419"/>
      <c r="MTR49" s="419"/>
      <c r="MTS49" s="419"/>
      <c r="MTT49" s="419"/>
      <c r="MTU49" s="419"/>
      <c r="MTV49" s="419"/>
      <c r="MTW49" s="419"/>
      <c r="MTX49" s="419"/>
      <c r="MTY49" s="419"/>
      <c r="MTZ49" s="419"/>
      <c r="MUA49" s="419"/>
      <c r="MUB49" s="419"/>
      <c r="MUC49" s="419"/>
      <c r="MUD49" s="419"/>
      <c r="MUE49" s="419"/>
      <c r="MUF49" s="419"/>
      <c r="MUG49" s="419"/>
      <c r="MUH49" s="419"/>
      <c r="MUI49" s="419"/>
      <c r="MUJ49" s="419"/>
      <c r="MUK49" s="419"/>
      <c r="MUL49" s="419"/>
      <c r="MUM49" s="419"/>
      <c r="MUN49" s="419"/>
      <c r="MUO49" s="419"/>
      <c r="MUP49" s="419"/>
      <c r="MUQ49" s="419"/>
      <c r="MUR49" s="419"/>
      <c r="MUS49" s="419"/>
      <c r="MUT49" s="419"/>
      <c r="MUU49" s="419"/>
      <c r="MUV49" s="419"/>
      <c r="MUW49" s="419"/>
      <c r="MUX49" s="419"/>
      <c r="MUY49" s="419"/>
      <c r="MUZ49" s="419"/>
      <c r="MVA49" s="419"/>
      <c r="MVB49" s="419"/>
      <c r="MVC49" s="419"/>
      <c r="MVD49" s="419"/>
      <c r="MVE49" s="419"/>
      <c r="MVF49" s="419"/>
      <c r="MVG49" s="419"/>
      <c r="MVH49" s="419"/>
      <c r="MVI49" s="419"/>
      <c r="MVJ49" s="419"/>
      <c r="MVK49" s="419"/>
      <c r="MVL49" s="419"/>
      <c r="MVM49" s="419"/>
      <c r="MVN49" s="419"/>
      <c r="MVO49" s="419"/>
      <c r="MVP49" s="419"/>
      <c r="MVQ49" s="419"/>
      <c r="MVR49" s="419"/>
      <c r="MVS49" s="419"/>
      <c r="MVT49" s="419"/>
      <c r="MVU49" s="419"/>
      <c r="MVV49" s="419"/>
      <c r="MVW49" s="419"/>
      <c r="MVX49" s="419"/>
      <c r="MVY49" s="419"/>
      <c r="MVZ49" s="419"/>
      <c r="MWA49" s="419"/>
      <c r="MWB49" s="419"/>
      <c r="MWC49" s="419"/>
      <c r="MWD49" s="419"/>
      <c r="MWE49" s="419"/>
      <c r="MWF49" s="419"/>
      <c r="MWG49" s="419"/>
      <c r="MWH49" s="419"/>
      <c r="MWI49" s="419"/>
      <c r="MWJ49" s="419"/>
      <c r="MWK49" s="419"/>
      <c r="MWL49" s="419"/>
      <c r="MWM49" s="419"/>
      <c r="MWN49" s="419"/>
      <c r="MWO49" s="419"/>
      <c r="MWP49" s="419"/>
      <c r="MWQ49" s="419"/>
      <c r="MWR49" s="419"/>
      <c r="MWS49" s="419"/>
      <c r="MWT49" s="419"/>
      <c r="MWU49" s="419"/>
      <c r="MWV49" s="419"/>
      <c r="MWW49" s="419"/>
      <c r="MWX49" s="419"/>
      <c r="MWY49" s="419"/>
      <c r="MWZ49" s="419"/>
      <c r="MXA49" s="419"/>
      <c r="MXB49" s="419"/>
      <c r="MXC49" s="419"/>
      <c r="MXD49" s="419"/>
      <c r="MXE49" s="419"/>
      <c r="MXF49" s="419"/>
      <c r="MXG49" s="419"/>
      <c r="MXH49" s="419"/>
      <c r="MXI49" s="419"/>
      <c r="MXJ49" s="419"/>
      <c r="MXK49" s="419"/>
      <c r="MXL49" s="419"/>
      <c r="MXM49" s="419"/>
      <c r="MXN49" s="419"/>
      <c r="MXO49" s="419"/>
      <c r="MXP49" s="419"/>
      <c r="MXQ49" s="419"/>
      <c r="MXR49" s="419"/>
      <c r="MXS49" s="419"/>
      <c r="MXT49" s="419"/>
      <c r="MXU49" s="419"/>
      <c r="MXV49" s="419"/>
      <c r="MXW49" s="419"/>
      <c r="MXX49" s="419"/>
      <c r="MXY49" s="419"/>
      <c r="MXZ49" s="419"/>
      <c r="MYA49" s="419"/>
      <c r="MYB49" s="419"/>
      <c r="MYC49" s="419"/>
      <c r="MYD49" s="419"/>
      <c r="MYE49" s="419"/>
      <c r="MYF49" s="419"/>
      <c r="MYG49" s="419"/>
      <c r="MYH49" s="419"/>
      <c r="MYI49" s="419"/>
      <c r="MYJ49" s="419"/>
      <c r="MYK49" s="419"/>
      <c r="MYL49" s="419"/>
      <c r="MYM49" s="419"/>
      <c r="MYN49" s="419"/>
      <c r="MYO49" s="419"/>
      <c r="MYP49" s="419"/>
      <c r="MYQ49" s="419"/>
      <c r="MYR49" s="419"/>
      <c r="MYS49" s="419"/>
      <c r="MYT49" s="419"/>
      <c r="MYU49" s="419"/>
      <c r="MYV49" s="419"/>
      <c r="MYW49" s="419"/>
      <c r="MYX49" s="419"/>
      <c r="MYY49" s="419"/>
      <c r="MYZ49" s="419"/>
      <c r="MZA49" s="419"/>
      <c r="MZB49" s="419"/>
      <c r="MZC49" s="419"/>
      <c r="MZD49" s="419"/>
      <c r="MZE49" s="419"/>
      <c r="MZF49" s="419"/>
      <c r="MZG49" s="419"/>
      <c r="MZH49" s="419"/>
      <c r="MZI49" s="419"/>
      <c r="MZJ49" s="419"/>
      <c r="MZK49" s="419"/>
      <c r="MZL49" s="419"/>
      <c r="MZM49" s="419"/>
      <c r="MZN49" s="419"/>
      <c r="MZO49" s="419"/>
      <c r="MZP49" s="419"/>
      <c r="MZQ49" s="419"/>
      <c r="MZR49" s="419"/>
      <c r="MZS49" s="419"/>
      <c r="MZT49" s="419"/>
      <c r="MZU49" s="419"/>
      <c r="MZV49" s="419"/>
      <c r="MZW49" s="419"/>
      <c r="MZX49" s="419"/>
      <c r="MZY49" s="419"/>
      <c r="MZZ49" s="419"/>
      <c r="NAA49" s="419"/>
      <c r="NAB49" s="419"/>
      <c r="NAC49" s="419"/>
      <c r="NAD49" s="419"/>
      <c r="NAE49" s="419"/>
      <c r="NAF49" s="419"/>
      <c r="NAG49" s="419"/>
      <c r="NAH49" s="419"/>
      <c r="NAI49" s="419"/>
      <c r="NAJ49" s="419"/>
      <c r="NAK49" s="419"/>
      <c r="NAL49" s="419"/>
      <c r="NAM49" s="419"/>
      <c r="NAN49" s="419"/>
      <c r="NAO49" s="419"/>
      <c r="NAP49" s="419"/>
      <c r="NAQ49" s="419"/>
      <c r="NAR49" s="419"/>
      <c r="NAS49" s="419"/>
      <c r="NAT49" s="419"/>
      <c r="NAU49" s="419"/>
      <c r="NAV49" s="419"/>
      <c r="NAW49" s="419"/>
      <c r="NAX49" s="419"/>
      <c r="NAY49" s="419"/>
      <c r="NAZ49" s="419"/>
      <c r="NBA49" s="419"/>
      <c r="NBB49" s="419"/>
      <c r="NBC49" s="419"/>
      <c r="NBD49" s="419"/>
      <c r="NBE49" s="419"/>
      <c r="NBF49" s="419"/>
      <c r="NBG49" s="419"/>
      <c r="NBH49" s="419"/>
      <c r="NBI49" s="419"/>
      <c r="NBJ49" s="419"/>
      <c r="NBK49" s="419"/>
      <c r="NBL49" s="419"/>
      <c r="NBM49" s="419"/>
      <c r="NBN49" s="419"/>
      <c r="NBO49" s="419"/>
      <c r="NBP49" s="419"/>
      <c r="NBQ49" s="419"/>
      <c r="NBR49" s="419"/>
      <c r="NBS49" s="419"/>
      <c r="NBT49" s="419"/>
      <c r="NBU49" s="419"/>
      <c r="NBV49" s="419"/>
      <c r="NBW49" s="419"/>
      <c r="NBX49" s="419"/>
      <c r="NBY49" s="419"/>
      <c r="NBZ49" s="419"/>
      <c r="NCA49" s="419"/>
      <c r="NCB49" s="419"/>
      <c r="NCC49" s="419"/>
      <c r="NCD49" s="419"/>
      <c r="NCE49" s="419"/>
      <c r="NCF49" s="419"/>
      <c r="NCG49" s="419"/>
      <c r="NCH49" s="419"/>
      <c r="NCI49" s="419"/>
      <c r="NCJ49" s="419"/>
      <c r="NCK49" s="419"/>
      <c r="NCL49" s="419"/>
      <c r="NCM49" s="419"/>
      <c r="NCN49" s="419"/>
      <c r="NCO49" s="419"/>
      <c r="NCP49" s="419"/>
      <c r="NCQ49" s="419"/>
      <c r="NCR49" s="419"/>
      <c r="NCS49" s="419"/>
      <c r="NCT49" s="419"/>
      <c r="NCU49" s="419"/>
      <c r="NCV49" s="419"/>
      <c r="NCW49" s="419"/>
      <c r="NCX49" s="419"/>
      <c r="NCY49" s="419"/>
      <c r="NCZ49" s="419"/>
      <c r="NDA49" s="419"/>
      <c r="NDB49" s="419"/>
      <c r="NDC49" s="419"/>
      <c r="NDD49" s="419"/>
      <c r="NDE49" s="419"/>
      <c r="NDF49" s="419"/>
      <c r="NDG49" s="419"/>
      <c r="NDH49" s="419"/>
      <c r="NDI49" s="419"/>
      <c r="NDJ49" s="419"/>
      <c r="NDK49" s="419"/>
      <c r="NDL49" s="419"/>
      <c r="NDM49" s="419"/>
      <c r="NDN49" s="419"/>
      <c r="NDO49" s="419"/>
      <c r="NDP49" s="419"/>
      <c r="NDQ49" s="419"/>
      <c r="NDR49" s="419"/>
      <c r="NDS49" s="419"/>
      <c r="NDT49" s="419"/>
      <c r="NDU49" s="419"/>
      <c r="NDV49" s="419"/>
      <c r="NDW49" s="419"/>
      <c r="NDX49" s="419"/>
      <c r="NDY49" s="419"/>
      <c r="NDZ49" s="419"/>
      <c r="NEA49" s="419"/>
      <c r="NEB49" s="419"/>
      <c r="NEC49" s="419"/>
      <c r="NED49" s="419"/>
      <c r="NEE49" s="419"/>
      <c r="NEF49" s="419"/>
      <c r="NEG49" s="419"/>
      <c r="NEH49" s="419"/>
      <c r="NEI49" s="419"/>
      <c r="NEJ49" s="419"/>
      <c r="NEK49" s="419"/>
      <c r="NEL49" s="419"/>
      <c r="NEM49" s="419"/>
      <c r="NEN49" s="419"/>
      <c r="NEO49" s="419"/>
      <c r="NEP49" s="419"/>
      <c r="NEQ49" s="419"/>
      <c r="NER49" s="419"/>
      <c r="NES49" s="419"/>
      <c r="NET49" s="419"/>
      <c r="NEU49" s="419"/>
      <c r="NEV49" s="419"/>
      <c r="NEW49" s="419"/>
      <c r="NEX49" s="419"/>
      <c r="NEY49" s="419"/>
      <c r="NEZ49" s="419"/>
      <c r="NFA49" s="419"/>
      <c r="NFB49" s="419"/>
      <c r="NFC49" s="419"/>
      <c r="NFD49" s="419"/>
      <c r="NFE49" s="419"/>
      <c r="NFF49" s="419"/>
      <c r="NFG49" s="419"/>
      <c r="NFH49" s="419"/>
      <c r="NFI49" s="419"/>
      <c r="NFJ49" s="419"/>
      <c r="NFK49" s="419"/>
      <c r="NFL49" s="419"/>
      <c r="NFM49" s="419"/>
      <c r="NFN49" s="419"/>
      <c r="NFO49" s="419"/>
      <c r="NFP49" s="419"/>
      <c r="NFQ49" s="419"/>
      <c r="NFR49" s="419"/>
      <c r="NFS49" s="419"/>
      <c r="NFT49" s="419"/>
      <c r="NFU49" s="419"/>
      <c r="NFV49" s="419"/>
      <c r="NFW49" s="419"/>
      <c r="NFX49" s="419"/>
      <c r="NFY49" s="419"/>
      <c r="NFZ49" s="419"/>
      <c r="NGA49" s="419"/>
      <c r="NGB49" s="419"/>
      <c r="NGC49" s="419"/>
      <c r="NGD49" s="419"/>
      <c r="NGE49" s="419"/>
      <c r="NGF49" s="419"/>
      <c r="NGG49" s="419"/>
      <c r="NGH49" s="419"/>
      <c r="NGI49" s="419"/>
      <c r="NGJ49" s="419"/>
      <c r="NGK49" s="419"/>
      <c r="NGL49" s="419"/>
      <c r="NGM49" s="419"/>
      <c r="NGN49" s="419"/>
      <c r="NGO49" s="419"/>
      <c r="NGP49" s="419"/>
      <c r="NGQ49" s="419"/>
      <c r="NGR49" s="419"/>
      <c r="NGS49" s="419"/>
      <c r="NGT49" s="419"/>
      <c r="NGU49" s="419"/>
      <c r="NGV49" s="419"/>
      <c r="NGW49" s="419"/>
      <c r="NGX49" s="419"/>
      <c r="NGY49" s="419"/>
      <c r="NGZ49" s="419"/>
      <c r="NHA49" s="419"/>
      <c r="NHB49" s="419"/>
      <c r="NHC49" s="419"/>
      <c r="NHD49" s="419"/>
      <c r="NHE49" s="419"/>
      <c r="NHF49" s="419"/>
      <c r="NHG49" s="419"/>
      <c r="NHH49" s="419"/>
      <c r="NHI49" s="419"/>
      <c r="NHJ49" s="419"/>
      <c r="NHK49" s="419"/>
      <c r="NHL49" s="419"/>
      <c r="NHM49" s="419"/>
      <c r="NHN49" s="419"/>
      <c r="NHO49" s="419"/>
      <c r="NHP49" s="419"/>
      <c r="NHQ49" s="419"/>
      <c r="NHR49" s="419"/>
      <c r="NHS49" s="419"/>
      <c r="NHT49" s="419"/>
      <c r="NHU49" s="419"/>
      <c r="NHV49" s="419"/>
      <c r="NHW49" s="419"/>
      <c r="NHX49" s="419"/>
      <c r="NHY49" s="419"/>
      <c r="NHZ49" s="419"/>
      <c r="NIA49" s="419"/>
      <c r="NIB49" s="419"/>
      <c r="NIC49" s="419"/>
      <c r="NID49" s="419"/>
      <c r="NIE49" s="419"/>
      <c r="NIF49" s="419"/>
      <c r="NIG49" s="419"/>
      <c r="NIH49" s="419"/>
      <c r="NII49" s="419"/>
      <c r="NIJ49" s="419"/>
      <c r="NIK49" s="419"/>
      <c r="NIL49" s="419"/>
      <c r="NIM49" s="419"/>
      <c r="NIN49" s="419"/>
      <c r="NIO49" s="419"/>
      <c r="NIP49" s="419"/>
      <c r="NIQ49" s="419"/>
      <c r="NIR49" s="419"/>
      <c r="NIS49" s="419"/>
      <c r="NIT49" s="419"/>
      <c r="NIU49" s="419"/>
      <c r="NIV49" s="419"/>
      <c r="NIW49" s="419"/>
      <c r="NIX49" s="419"/>
      <c r="NIY49" s="419"/>
      <c r="NIZ49" s="419"/>
      <c r="NJA49" s="419"/>
      <c r="NJB49" s="419"/>
      <c r="NJC49" s="419"/>
      <c r="NJD49" s="419"/>
      <c r="NJE49" s="419"/>
      <c r="NJF49" s="419"/>
      <c r="NJG49" s="419"/>
      <c r="NJH49" s="419"/>
      <c r="NJI49" s="419"/>
      <c r="NJJ49" s="419"/>
      <c r="NJK49" s="419"/>
      <c r="NJL49" s="419"/>
      <c r="NJM49" s="419"/>
      <c r="NJN49" s="419"/>
      <c r="NJO49" s="419"/>
      <c r="NJP49" s="419"/>
      <c r="NJQ49" s="419"/>
      <c r="NJR49" s="419"/>
      <c r="NJS49" s="419"/>
      <c r="NJT49" s="419"/>
      <c r="NJU49" s="419"/>
      <c r="NJV49" s="419"/>
      <c r="NJW49" s="419"/>
      <c r="NJX49" s="419"/>
      <c r="NJY49" s="419"/>
      <c r="NJZ49" s="419"/>
      <c r="NKA49" s="419"/>
      <c r="NKB49" s="419"/>
      <c r="NKC49" s="419"/>
      <c r="NKD49" s="419"/>
      <c r="NKE49" s="419"/>
      <c r="NKF49" s="419"/>
      <c r="NKG49" s="419"/>
      <c r="NKH49" s="419"/>
      <c r="NKI49" s="419"/>
      <c r="NKJ49" s="419"/>
      <c r="NKK49" s="419"/>
      <c r="NKL49" s="419"/>
      <c r="NKM49" s="419"/>
      <c r="NKN49" s="419"/>
      <c r="NKO49" s="419"/>
      <c r="NKP49" s="419"/>
      <c r="NKQ49" s="419"/>
      <c r="NKR49" s="419"/>
      <c r="NKS49" s="419"/>
      <c r="NKT49" s="419"/>
      <c r="NKU49" s="419"/>
      <c r="NKV49" s="419"/>
      <c r="NKW49" s="419"/>
      <c r="NKX49" s="419"/>
      <c r="NKY49" s="419"/>
      <c r="NKZ49" s="419"/>
      <c r="NLA49" s="419"/>
      <c r="NLB49" s="419"/>
      <c r="NLC49" s="419"/>
      <c r="NLD49" s="419"/>
      <c r="NLE49" s="419"/>
      <c r="NLF49" s="419"/>
      <c r="NLG49" s="419"/>
      <c r="NLH49" s="419"/>
      <c r="NLI49" s="419"/>
      <c r="NLJ49" s="419"/>
      <c r="NLK49" s="419"/>
      <c r="NLL49" s="419"/>
      <c r="NLM49" s="419"/>
      <c r="NLN49" s="419"/>
      <c r="NLO49" s="419"/>
      <c r="NLP49" s="419"/>
      <c r="NLQ49" s="419"/>
      <c r="NLR49" s="419"/>
      <c r="NLS49" s="419"/>
      <c r="NLT49" s="419"/>
      <c r="NLU49" s="419"/>
      <c r="NLV49" s="419"/>
      <c r="NLW49" s="419"/>
      <c r="NLX49" s="419"/>
      <c r="NLY49" s="419"/>
      <c r="NLZ49" s="419"/>
      <c r="NMA49" s="419"/>
      <c r="NMB49" s="419"/>
      <c r="NMC49" s="419"/>
      <c r="NMD49" s="419"/>
      <c r="NME49" s="419"/>
      <c r="NMF49" s="419"/>
      <c r="NMG49" s="419"/>
      <c r="NMH49" s="419"/>
      <c r="NMI49" s="419"/>
      <c r="NMJ49" s="419"/>
      <c r="NMK49" s="419"/>
      <c r="NML49" s="419"/>
      <c r="NMM49" s="419"/>
      <c r="NMN49" s="419"/>
      <c r="NMO49" s="419"/>
      <c r="NMP49" s="419"/>
      <c r="NMQ49" s="419"/>
      <c r="NMR49" s="419"/>
      <c r="NMS49" s="419"/>
      <c r="NMT49" s="419"/>
      <c r="NMU49" s="419"/>
      <c r="NMV49" s="419"/>
      <c r="NMW49" s="419"/>
      <c r="NMX49" s="419"/>
      <c r="NMY49" s="419"/>
      <c r="NMZ49" s="419"/>
      <c r="NNA49" s="419"/>
      <c r="NNB49" s="419"/>
      <c r="NNC49" s="419"/>
      <c r="NND49" s="419"/>
      <c r="NNE49" s="419"/>
      <c r="NNF49" s="419"/>
      <c r="NNG49" s="419"/>
      <c r="NNH49" s="419"/>
      <c r="NNI49" s="419"/>
      <c r="NNJ49" s="419"/>
      <c r="NNK49" s="419"/>
      <c r="NNL49" s="419"/>
      <c r="NNM49" s="419"/>
      <c r="NNN49" s="419"/>
      <c r="NNO49" s="419"/>
      <c r="NNP49" s="419"/>
      <c r="NNQ49" s="419"/>
      <c r="NNR49" s="419"/>
      <c r="NNS49" s="419"/>
      <c r="NNT49" s="419"/>
      <c r="NNU49" s="419"/>
      <c r="NNV49" s="419"/>
      <c r="NNW49" s="419"/>
      <c r="NNX49" s="419"/>
      <c r="NNY49" s="419"/>
      <c r="NNZ49" s="419"/>
      <c r="NOA49" s="419"/>
      <c r="NOB49" s="419"/>
      <c r="NOC49" s="419"/>
      <c r="NOD49" s="419"/>
      <c r="NOE49" s="419"/>
      <c r="NOF49" s="419"/>
      <c r="NOG49" s="419"/>
      <c r="NOH49" s="419"/>
      <c r="NOI49" s="419"/>
      <c r="NOJ49" s="419"/>
      <c r="NOK49" s="419"/>
      <c r="NOL49" s="419"/>
      <c r="NOM49" s="419"/>
      <c r="NON49" s="419"/>
      <c r="NOO49" s="419"/>
      <c r="NOP49" s="419"/>
      <c r="NOQ49" s="419"/>
      <c r="NOR49" s="419"/>
      <c r="NOS49" s="419"/>
      <c r="NOT49" s="419"/>
      <c r="NOU49" s="419"/>
      <c r="NOV49" s="419"/>
      <c r="NOW49" s="419"/>
      <c r="NOX49" s="419"/>
      <c r="NOY49" s="419"/>
      <c r="NOZ49" s="419"/>
      <c r="NPA49" s="419"/>
      <c r="NPB49" s="419"/>
      <c r="NPC49" s="419"/>
      <c r="NPD49" s="419"/>
      <c r="NPE49" s="419"/>
      <c r="NPF49" s="419"/>
      <c r="NPG49" s="419"/>
      <c r="NPH49" s="419"/>
      <c r="NPI49" s="419"/>
      <c r="NPJ49" s="419"/>
      <c r="NPK49" s="419"/>
      <c r="NPL49" s="419"/>
      <c r="NPM49" s="419"/>
      <c r="NPN49" s="419"/>
      <c r="NPO49" s="419"/>
      <c r="NPP49" s="419"/>
      <c r="NPQ49" s="419"/>
      <c r="NPR49" s="419"/>
      <c r="NPS49" s="419"/>
      <c r="NPT49" s="419"/>
      <c r="NPU49" s="419"/>
      <c r="NPV49" s="419"/>
      <c r="NPW49" s="419"/>
      <c r="NPX49" s="419"/>
      <c r="NPY49" s="419"/>
      <c r="NPZ49" s="419"/>
      <c r="NQA49" s="419"/>
      <c r="NQB49" s="419"/>
      <c r="NQC49" s="419"/>
      <c r="NQD49" s="419"/>
      <c r="NQE49" s="419"/>
      <c r="NQF49" s="419"/>
      <c r="NQG49" s="419"/>
      <c r="NQH49" s="419"/>
      <c r="NQI49" s="419"/>
      <c r="NQJ49" s="419"/>
      <c r="NQK49" s="419"/>
      <c r="NQL49" s="419"/>
      <c r="NQM49" s="419"/>
      <c r="NQN49" s="419"/>
      <c r="NQO49" s="419"/>
      <c r="NQP49" s="419"/>
      <c r="NQQ49" s="419"/>
      <c r="NQR49" s="419"/>
      <c r="NQS49" s="419"/>
      <c r="NQT49" s="419"/>
      <c r="NQU49" s="419"/>
      <c r="NQV49" s="419"/>
      <c r="NQW49" s="419"/>
      <c r="NQX49" s="419"/>
      <c r="NQY49" s="419"/>
      <c r="NQZ49" s="419"/>
      <c r="NRA49" s="419"/>
      <c r="NRB49" s="419"/>
      <c r="NRC49" s="419"/>
      <c r="NRD49" s="419"/>
      <c r="NRE49" s="419"/>
      <c r="NRF49" s="419"/>
      <c r="NRG49" s="419"/>
      <c r="NRH49" s="419"/>
      <c r="NRI49" s="419"/>
      <c r="NRJ49" s="419"/>
      <c r="NRK49" s="419"/>
      <c r="NRL49" s="419"/>
      <c r="NRM49" s="419"/>
      <c r="NRN49" s="419"/>
      <c r="NRO49" s="419"/>
      <c r="NRP49" s="419"/>
      <c r="NRQ49" s="419"/>
      <c r="NRR49" s="419"/>
      <c r="NRS49" s="419"/>
      <c r="NRT49" s="419"/>
      <c r="NRU49" s="419"/>
      <c r="NRV49" s="419"/>
      <c r="NRW49" s="419"/>
      <c r="NRX49" s="419"/>
      <c r="NRY49" s="419"/>
      <c r="NRZ49" s="419"/>
      <c r="NSA49" s="419"/>
      <c r="NSB49" s="419"/>
      <c r="NSC49" s="419"/>
      <c r="NSD49" s="419"/>
      <c r="NSE49" s="419"/>
      <c r="NSF49" s="419"/>
      <c r="NSG49" s="419"/>
      <c r="NSH49" s="419"/>
      <c r="NSI49" s="419"/>
      <c r="NSJ49" s="419"/>
      <c r="NSK49" s="419"/>
      <c r="NSL49" s="419"/>
      <c r="NSM49" s="419"/>
      <c r="NSN49" s="419"/>
      <c r="NSO49" s="419"/>
      <c r="NSP49" s="419"/>
      <c r="NSQ49" s="419"/>
      <c r="NSR49" s="419"/>
      <c r="NSS49" s="419"/>
      <c r="NST49" s="419"/>
      <c r="NSU49" s="419"/>
      <c r="NSV49" s="419"/>
      <c r="NSW49" s="419"/>
      <c r="NSX49" s="419"/>
      <c r="NSY49" s="419"/>
      <c r="NSZ49" s="419"/>
      <c r="NTA49" s="419"/>
      <c r="NTB49" s="419"/>
      <c r="NTC49" s="419"/>
      <c r="NTD49" s="419"/>
      <c r="NTE49" s="419"/>
      <c r="NTF49" s="419"/>
      <c r="NTG49" s="419"/>
      <c r="NTH49" s="419"/>
      <c r="NTI49" s="419"/>
      <c r="NTJ49" s="419"/>
      <c r="NTK49" s="419"/>
      <c r="NTL49" s="419"/>
      <c r="NTM49" s="419"/>
      <c r="NTN49" s="419"/>
      <c r="NTO49" s="419"/>
      <c r="NTP49" s="419"/>
      <c r="NTQ49" s="419"/>
      <c r="NTR49" s="419"/>
      <c r="NTS49" s="419"/>
      <c r="NTT49" s="419"/>
      <c r="NTU49" s="419"/>
      <c r="NTV49" s="419"/>
      <c r="NTW49" s="419"/>
      <c r="NTX49" s="419"/>
      <c r="NTY49" s="419"/>
      <c r="NTZ49" s="419"/>
      <c r="NUA49" s="419"/>
      <c r="NUB49" s="419"/>
      <c r="NUC49" s="419"/>
      <c r="NUD49" s="419"/>
      <c r="NUE49" s="419"/>
      <c r="NUF49" s="419"/>
      <c r="NUG49" s="419"/>
      <c r="NUH49" s="419"/>
      <c r="NUI49" s="419"/>
      <c r="NUJ49" s="419"/>
      <c r="NUK49" s="419"/>
      <c r="NUL49" s="419"/>
      <c r="NUM49" s="419"/>
      <c r="NUN49" s="419"/>
      <c r="NUO49" s="419"/>
      <c r="NUP49" s="419"/>
      <c r="NUQ49" s="419"/>
      <c r="NUR49" s="419"/>
      <c r="NUS49" s="419"/>
      <c r="NUT49" s="419"/>
      <c r="NUU49" s="419"/>
      <c r="NUV49" s="419"/>
      <c r="NUW49" s="419"/>
      <c r="NUX49" s="419"/>
      <c r="NUY49" s="419"/>
      <c r="NUZ49" s="419"/>
      <c r="NVA49" s="419"/>
      <c r="NVB49" s="419"/>
      <c r="NVC49" s="419"/>
      <c r="NVD49" s="419"/>
      <c r="NVE49" s="419"/>
      <c r="NVF49" s="419"/>
      <c r="NVG49" s="419"/>
      <c r="NVH49" s="419"/>
      <c r="NVI49" s="419"/>
      <c r="NVJ49" s="419"/>
      <c r="NVK49" s="419"/>
      <c r="NVL49" s="419"/>
      <c r="NVM49" s="419"/>
      <c r="NVN49" s="419"/>
      <c r="NVO49" s="419"/>
      <c r="NVP49" s="419"/>
      <c r="NVQ49" s="419"/>
      <c r="NVR49" s="419"/>
      <c r="NVS49" s="419"/>
      <c r="NVT49" s="419"/>
      <c r="NVU49" s="419"/>
      <c r="NVV49" s="419"/>
      <c r="NVW49" s="419"/>
      <c r="NVX49" s="419"/>
      <c r="NVY49" s="419"/>
      <c r="NVZ49" s="419"/>
      <c r="NWA49" s="419"/>
      <c r="NWB49" s="419"/>
      <c r="NWC49" s="419"/>
      <c r="NWD49" s="419"/>
      <c r="NWE49" s="419"/>
      <c r="NWF49" s="419"/>
      <c r="NWG49" s="419"/>
      <c r="NWH49" s="419"/>
      <c r="NWI49" s="419"/>
      <c r="NWJ49" s="419"/>
      <c r="NWK49" s="419"/>
      <c r="NWL49" s="419"/>
      <c r="NWM49" s="419"/>
      <c r="NWN49" s="419"/>
      <c r="NWO49" s="419"/>
      <c r="NWP49" s="419"/>
      <c r="NWQ49" s="419"/>
      <c r="NWR49" s="419"/>
      <c r="NWS49" s="419"/>
      <c r="NWT49" s="419"/>
      <c r="NWU49" s="419"/>
      <c r="NWV49" s="419"/>
      <c r="NWW49" s="419"/>
      <c r="NWX49" s="419"/>
      <c r="NWY49" s="419"/>
      <c r="NWZ49" s="419"/>
      <c r="NXA49" s="419"/>
      <c r="NXB49" s="419"/>
      <c r="NXC49" s="419"/>
      <c r="NXD49" s="419"/>
      <c r="NXE49" s="419"/>
      <c r="NXF49" s="419"/>
      <c r="NXG49" s="419"/>
      <c r="NXH49" s="419"/>
      <c r="NXI49" s="419"/>
      <c r="NXJ49" s="419"/>
      <c r="NXK49" s="419"/>
      <c r="NXL49" s="419"/>
      <c r="NXM49" s="419"/>
      <c r="NXN49" s="419"/>
      <c r="NXO49" s="419"/>
      <c r="NXP49" s="419"/>
      <c r="NXQ49" s="419"/>
      <c r="NXR49" s="419"/>
      <c r="NXS49" s="419"/>
      <c r="NXT49" s="419"/>
      <c r="NXU49" s="419"/>
      <c r="NXV49" s="419"/>
      <c r="NXW49" s="419"/>
      <c r="NXX49" s="419"/>
      <c r="NXY49" s="419"/>
      <c r="NXZ49" s="419"/>
      <c r="NYA49" s="419"/>
      <c r="NYB49" s="419"/>
      <c r="NYC49" s="419"/>
      <c r="NYD49" s="419"/>
      <c r="NYE49" s="419"/>
      <c r="NYF49" s="419"/>
      <c r="NYG49" s="419"/>
      <c r="NYH49" s="419"/>
      <c r="NYI49" s="419"/>
      <c r="NYJ49" s="419"/>
      <c r="NYK49" s="419"/>
      <c r="NYL49" s="419"/>
      <c r="NYM49" s="419"/>
      <c r="NYN49" s="419"/>
      <c r="NYO49" s="419"/>
      <c r="NYP49" s="419"/>
      <c r="NYQ49" s="419"/>
      <c r="NYR49" s="419"/>
      <c r="NYS49" s="419"/>
      <c r="NYT49" s="419"/>
      <c r="NYU49" s="419"/>
      <c r="NYV49" s="419"/>
      <c r="NYW49" s="419"/>
      <c r="NYX49" s="419"/>
      <c r="NYY49" s="419"/>
      <c r="NYZ49" s="419"/>
      <c r="NZA49" s="419"/>
      <c r="NZB49" s="419"/>
      <c r="NZC49" s="419"/>
      <c r="NZD49" s="419"/>
      <c r="NZE49" s="419"/>
      <c r="NZF49" s="419"/>
      <c r="NZG49" s="419"/>
      <c r="NZH49" s="419"/>
      <c r="NZI49" s="419"/>
      <c r="NZJ49" s="419"/>
      <c r="NZK49" s="419"/>
      <c r="NZL49" s="419"/>
      <c r="NZM49" s="419"/>
      <c r="NZN49" s="419"/>
      <c r="NZO49" s="419"/>
      <c r="NZP49" s="419"/>
      <c r="NZQ49" s="419"/>
      <c r="NZR49" s="419"/>
      <c r="NZS49" s="419"/>
      <c r="NZT49" s="419"/>
      <c r="NZU49" s="419"/>
      <c r="NZV49" s="419"/>
      <c r="NZW49" s="419"/>
      <c r="NZX49" s="419"/>
      <c r="NZY49" s="419"/>
      <c r="NZZ49" s="419"/>
      <c r="OAA49" s="419"/>
      <c r="OAB49" s="419"/>
      <c r="OAC49" s="419"/>
      <c r="OAD49" s="419"/>
      <c r="OAE49" s="419"/>
      <c r="OAF49" s="419"/>
      <c r="OAG49" s="419"/>
      <c r="OAH49" s="419"/>
      <c r="OAI49" s="419"/>
      <c r="OAJ49" s="419"/>
      <c r="OAK49" s="419"/>
      <c r="OAL49" s="419"/>
      <c r="OAM49" s="419"/>
      <c r="OAN49" s="419"/>
      <c r="OAO49" s="419"/>
      <c r="OAP49" s="419"/>
      <c r="OAQ49" s="419"/>
      <c r="OAR49" s="419"/>
      <c r="OAS49" s="419"/>
      <c r="OAT49" s="419"/>
      <c r="OAU49" s="419"/>
      <c r="OAV49" s="419"/>
      <c r="OAW49" s="419"/>
      <c r="OAX49" s="419"/>
      <c r="OAY49" s="419"/>
      <c r="OAZ49" s="419"/>
      <c r="OBA49" s="419"/>
      <c r="OBB49" s="419"/>
      <c r="OBC49" s="419"/>
      <c r="OBD49" s="419"/>
      <c r="OBE49" s="419"/>
      <c r="OBF49" s="419"/>
      <c r="OBG49" s="419"/>
      <c r="OBH49" s="419"/>
      <c r="OBI49" s="419"/>
      <c r="OBJ49" s="419"/>
      <c r="OBK49" s="419"/>
      <c r="OBL49" s="419"/>
      <c r="OBM49" s="419"/>
      <c r="OBN49" s="419"/>
      <c r="OBO49" s="419"/>
      <c r="OBP49" s="419"/>
      <c r="OBQ49" s="419"/>
      <c r="OBR49" s="419"/>
      <c r="OBS49" s="419"/>
      <c r="OBT49" s="419"/>
      <c r="OBU49" s="419"/>
      <c r="OBV49" s="419"/>
      <c r="OBW49" s="419"/>
      <c r="OBX49" s="419"/>
      <c r="OBY49" s="419"/>
      <c r="OBZ49" s="419"/>
      <c r="OCA49" s="419"/>
      <c r="OCB49" s="419"/>
      <c r="OCC49" s="419"/>
      <c r="OCD49" s="419"/>
      <c r="OCE49" s="419"/>
      <c r="OCF49" s="419"/>
      <c r="OCG49" s="419"/>
      <c r="OCH49" s="419"/>
      <c r="OCI49" s="419"/>
      <c r="OCJ49" s="419"/>
      <c r="OCK49" s="419"/>
      <c r="OCL49" s="419"/>
      <c r="OCM49" s="419"/>
      <c r="OCN49" s="419"/>
      <c r="OCO49" s="419"/>
      <c r="OCP49" s="419"/>
      <c r="OCQ49" s="419"/>
      <c r="OCR49" s="419"/>
      <c r="OCS49" s="419"/>
      <c r="OCT49" s="419"/>
      <c r="OCU49" s="419"/>
      <c r="OCV49" s="419"/>
      <c r="OCW49" s="419"/>
      <c r="OCX49" s="419"/>
      <c r="OCY49" s="419"/>
      <c r="OCZ49" s="419"/>
      <c r="ODA49" s="419"/>
      <c r="ODB49" s="419"/>
      <c r="ODC49" s="419"/>
      <c r="ODD49" s="419"/>
      <c r="ODE49" s="419"/>
      <c r="ODF49" s="419"/>
      <c r="ODG49" s="419"/>
      <c r="ODH49" s="419"/>
      <c r="ODI49" s="419"/>
      <c r="ODJ49" s="419"/>
      <c r="ODK49" s="419"/>
      <c r="ODL49" s="419"/>
      <c r="ODM49" s="419"/>
      <c r="ODN49" s="419"/>
      <c r="ODO49" s="419"/>
      <c r="ODP49" s="419"/>
      <c r="ODQ49" s="419"/>
      <c r="ODR49" s="419"/>
      <c r="ODS49" s="419"/>
      <c r="ODT49" s="419"/>
      <c r="ODU49" s="419"/>
      <c r="ODV49" s="419"/>
      <c r="ODW49" s="419"/>
      <c r="ODX49" s="419"/>
      <c r="ODY49" s="419"/>
      <c r="ODZ49" s="419"/>
      <c r="OEA49" s="419"/>
      <c r="OEB49" s="419"/>
      <c r="OEC49" s="419"/>
      <c r="OED49" s="419"/>
      <c r="OEE49" s="419"/>
      <c r="OEF49" s="419"/>
      <c r="OEG49" s="419"/>
      <c r="OEH49" s="419"/>
      <c r="OEI49" s="419"/>
      <c r="OEJ49" s="419"/>
      <c r="OEK49" s="419"/>
      <c r="OEL49" s="419"/>
      <c r="OEM49" s="419"/>
      <c r="OEN49" s="419"/>
      <c r="OEO49" s="419"/>
      <c r="OEP49" s="419"/>
      <c r="OEQ49" s="419"/>
      <c r="OER49" s="419"/>
      <c r="OES49" s="419"/>
      <c r="OET49" s="419"/>
      <c r="OEU49" s="419"/>
      <c r="OEV49" s="419"/>
      <c r="OEW49" s="419"/>
      <c r="OEX49" s="419"/>
      <c r="OEY49" s="419"/>
      <c r="OEZ49" s="419"/>
      <c r="OFA49" s="419"/>
      <c r="OFB49" s="419"/>
      <c r="OFC49" s="419"/>
      <c r="OFD49" s="419"/>
      <c r="OFE49" s="419"/>
      <c r="OFF49" s="419"/>
      <c r="OFG49" s="419"/>
      <c r="OFH49" s="419"/>
      <c r="OFI49" s="419"/>
      <c r="OFJ49" s="419"/>
      <c r="OFK49" s="419"/>
      <c r="OFL49" s="419"/>
      <c r="OFM49" s="419"/>
      <c r="OFN49" s="419"/>
      <c r="OFO49" s="419"/>
      <c r="OFP49" s="419"/>
      <c r="OFQ49" s="419"/>
      <c r="OFR49" s="419"/>
      <c r="OFS49" s="419"/>
      <c r="OFT49" s="419"/>
      <c r="OFU49" s="419"/>
      <c r="OFV49" s="419"/>
      <c r="OFW49" s="419"/>
      <c r="OFX49" s="419"/>
      <c r="OFY49" s="419"/>
      <c r="OFZ49" s="419"/>
      <c r="OGA49" s="419"/>
      <c r="OGB49" s="419"/>
      <c r="OGC49" s="419"/>
      <c r="OGD49" s="419"/>
      <c r="OGE49" s="419"/>
      <c r="OGF49" s="419"/>
      <c r="OGG49" s="419"/>
      <c r="OGH49" s="419"/>
      <c r="OGI49" s="419"/>
      <c r="OGJ49" s="419"/>
      <c r="OGK49" s="419"/>
      <c r="OGL49" s="419"/>
      <c r="OGM49" s="419"/>
      <c r="OGN49" s="419"/>
      <c r="OGO49" s="419"/>
      <c r="OGP49" s="419"/>
      <c r="OGQ49" s="419"/>
      <c r="OGR49" s="419"/>
      <c r="OGS49" s="419"/>
      <c r="OGT49" s="419"/>
      <c r="OGU49" s="419"/>
      <c r="OGV49" s="419"/>
      <c r="OGW49" s="419"/>
      <c r="OGX49" s="419"/>
      <c r="OGY49" s="419"/>
      <c r="OGZ49" s="419"/>
      <c r="OHA49" s="419"/>
      <c r="OHB49" s="419"/>
      <c r="OHC49" s="419"/>
      <c r="OHD49" s="419"/>
      <c r="OHE49" s="419"/>
      <c r="OHF49" s="419"/>
      <c r="OHG49" s="419"/>
      <c r="OHH49" s="419"/>
      <c r="OHI49" s="419"/>
      <c r="OHJ49" s="419"/>
      <c r="OHK49" s="419"/>
      <c r="OHL49" s="419"/>
      <c r="OHM49" s="419"/>
      <c r="OHN49" s="419"/>
      <c r="OHO49" s="419"/>
      <c r="OHP49" s="419"/>
      <c r="OHQ49" s="419"/>
      <c r="OHR49" s="419"/>
      <c r="OHS49" s="419"/>
      <c r="OHT49" s="419"/>
      <c r="OHU49" s="419"/>
      <c r="OHV49" s="419"/>
      <c r="OHW49" s="419"/>
      <c r="OHX49" s="419"/>
      <c r="OHY49" s="419"/>
      <c r="OHZ49" s="419"/>
      <c r="OIA49" s="419"/>
      <c r="OIB49" s="419"/>
      <c r="OIC49" s="419"/>
      <c r="OID49" s="419"/>
      <c r="OIE49" s="419"/>
      <c r="OIF49" s="419"/>
      <c r="OIG49" s="419"/>
      <c r="OIH49" s="419"/>
      <c r="OII49" s="419"/>
      <c r="OIJ49" s="419"/>
      <c r="OIK49" s="419"/>
      <c r="OIL49" s="419"/>
      <c r="OIM49" s="419"/>
      <c r="OIN49" s="419"/>
      <c r="OIO49" s="419"/>
      <c r="OIP49" s="419"/>
      <c r="OIQ49" s="419"/>
      <c r="OIR49" s="419"/>
      <c r="OIS49" s="419"/>
      <c r="OIT49" s="419"/>
      <c r="OIU49" s="419"/>
      <c r="OIV49" s="419"/>
      <c r="OIW49" s="419"/>
      <c r="OIX49" s="419"/>
      <c r="OIY49" s="419"/>
      <c r="OIZ49" s="419"/>
      <c r="OJA49" s="419"/>
      <c r="OJB49" s="419"/>
      <c r="OJC49" s="419"/>
      <c r="OJD49" s="419"/>
      <c r="OJE49" s="419"/>
      <c r="OJF49" s="419"/>
      <c r="OJG49" s="419"/>
      <c r="OJH49" s="419"/>
      <c r="OJI49" s="419"/>
      <c r="OJJ49" s="419"/>
      <c r="OJK49" s="419"/>
      <c r="OJL49" s="419"/>
      <c r="OJM49" s="419"/>
      <c r="OJN49" s="419"/>
      <c r="OJO49" s="419"/>
      <c r="OJP49" s="419"/>
      <c r="OJQ49" s="419"/>
      <c r="OJR49" s="419"/>
      <c r="OJS49" s="419"/>
      <c r="OJT49" s="419"/>
      <c r="OJU49" s="419"/>
      <c r="OJV49" s="419"/>
      <c r="OJW49" s="419"/>
      <c r="OJX49" s="419"/>
      <c r="OJY49" s="419"/>
      <c r="OJZ49" s="419"/>
      <c r="OKA49" s="419"/>
      <c r="OKB49" s="419"/>
      <c r="OKC49" s="419"/>
      <c r="OKD49" s="419"/>
      <c r="OKE49" s="419"/>
      <c r="OKF49" s="419"/>
      <c r="OKG49" s="419"/>
      <c r="OKH49" s="419"/>
      <c r="OKI49" s="419"/>
      <c r="OKJ49" s="419"/>
      <c r="OKK49" s="419"/>
      <c r="OKL49" s="419"/>
      <c r="OKM49" s="419"/>
      <c r="OKN49" s="419"/>
      <c r="OKO49" s="419"/>
      <c r="OKP49" s="419"/>
      <c r="OKQ49" s="419"/>
      <c r="OKR49" s="419"/>
      <c r="OKS49" s="419"/>
      <c r="OKT49" s="419"/>
      <c r="OKU49" s="419"/>
      <c r="OKV49" s="419"/>
      <c r="OKW49" s="419"/>
      <c r="OKX49" s="419"/>
      <c r="OKY49" s="419"/>
      <c r="OKZ49" s="419"/>
      <c r="OLA49" s="419"/>
      <c r="OLB49" s="419"/>
      <c r="OLC49" s="419"/>
      <c r="OLD49" s="419"/>
      <c r="OLE49" s="419"/>
      <c r="OLF49" s="419"/>
      <c r="OLG49" s="419"/>
      <c r="OLH49" s="419"/>
      <c r="OLI49" s="419"/>
      <c r="OLJ49" s="419"/>
      <c r="OLK49" s="419"/>
      <c r="OLL49" s="419"/>
      <c r="OLM49" s="419"/>
      <c r="OLN49" s="419"/>
      <c r="OLO49" s="419"/>
      <c r="OLP49" s="419"/>
      <c r="OLQ49" s="419"/>
      <c r="OLR49" s="419"/>
      <c r="OLS49" s="419"/>
      <c r="OLT49" s="419"/>
      <c r="OLU49" s="419"/>
      <c r="OLV49" s="419"/>
      <c r="OLW49" s="419"/>
      <c r="OLX49" s="419"/>
      <c r="OLY49" s="419"/>
      <c r="OLZ49" s="419"/>
      <c r="OMA49" s="419"/>
      <c r="OMB49" s="419"/>
      <c r="OMC49" s="419"/>
      <c r="OMD49" s="419"/>
      <c r="OME49" s="419"/>
      <c r="OMF49" s="419"/>
      <c r="OMG49" s="419"/>
      <c r="OMH49" s="419"/>
      <c r="OMI49" s="419"/>
      <c r="OMJ49" s="419"/>
      <c r="OMK49" s="419"/>
      <c r="OML49" s="419"/>
      <c r="OMM49" s="419"/>
      <c r="OMN49" s="419"/>
      <c r="OMO49" s="419"/>
      <c r="OMP49" s="419"/>
      <c r="OMQ49" s="419"/>
      <c r="OMR49" s="419"/>
      <c r="OMS49" s="419"/>
      <c r="OMT49" s="419"/>
      <c r="OMU49" s="419"/>
      <c r="OMV49" s="419"/>
      <c r="OMW49" s="419"/>
      <c r="OMX49" s="419"/>
      <c r="OMY49" s="419"/>
      <c r="OMZ49" s="419"/>
      <c r="ONA49" s="419"/>
      <c r="ONB49" s="419"/>
      <c r="ONC49" s="419"/>
      <c r="OND49" s="419"/>
      <c r="ONE49" s="419"/>
      <c r="ONF49" s="419"/>
      <c r="ONG49" s="419"/>
      <c r="ONH49" s="419"/>
      <c r="ONI49" s="419"/>
      <c r="ONJ49" s="419"/>
      <c r="ONK49" s="419"/>
      <c r="ONL49" s="419"/>
      <c r="ONM49" s="419"/>
      <c r="ONN49" s="419"/>
      <c r="ONO49" s="419"/>
      <c r="ONP49" s="419"/>
      <c r="ONQ49" s="419"/>
      <c r="ONR49" s="419"/>
      <c r="ONS49" s="419"/>
      <c r="ONT49" s="419"/>
      <c r="ONU49" s="419"/>
      <c r="ONV49" s="419"/>
      <c r="ONW49" s="419"/>
      <c r="ONX49" s="419"/>
      <c r="ONY49" s="419"/>
      <c r="ONZ49" s="419"/>
      <c r="OOA49" s="419"/>
      <c r="OOB49" s="419"/>
      <c r="OOC49" s="419"/>
      <c r="OOD49" s="419"/>
      <c r="OOE49" s="419"/>
      <c r="OOF49" s="419"/>
      <c r="OOG49" s="419"/>
      <c r="OOH49" s="419"/>
      <c r="OOI49" s="419"/>
      <c r="OOJ49" s="419"/>
      <c r="OOK49" s="419"/>
      <c r="OOL49" s="419"/>
      <c r="OOM49" s="419"/>
      <c r="OON49" s="419"/>
      <c r="OOO49" s="419"/>
      <c r="OOP49" s="419"/>
      <c r="OOQ49" s="419"/>
      <c r="OOR49" s="419"/>
      <c r="OOS49" s="419"/>
      <c r="OOT49" s="419"/>
      <c r="OOU49" s="419"/>
      <c r="OOV49" s="419"/>
      <c r="OOW49" s="419"/>
      <c r="OOX49" s="419"/>
      <c r="OOY49" s="419"/>
      <c r="OOZ49" s="419"/>
      <c r="OPA49" s="419"/>
      <c r="OPB49" s="419"/>
      <c r="OPC49" s="419"/>
      <c r="OPD49" s="419"/>
      <c r="OPE49" s="419"/>
      <c r="OPF49" s="419"/>
      <c r="OPG49" s="419"/>
      <c r="OPH49" s="419"/>
      <c r="OPI49" s="419"/>
      <c r="OPJ49" s="419"/>
      <c r="OPK49" s="419"/>
      <c r="OPL49" s="419"/>
      <c r="OPM49" s="419"/>
      <c r="OPN49" s="419"/>
      <c r="OPO49" s="419"/>
      <c r="OPP49" s="419"/>
      <c r="OPQ49" s="419"/>
      <c r="OPR49" s="419"/>
      <c r="OPS49" s="419"/>
      <c r="OPT49" s="419"/>
      <c r="OPU49" s="419"/>
      <c r="OPV49" s="419"/>
      <c r="OPW49" s="419"/>
      <c r="OPX49" s="419"/>
      <c r="OPY49" s="419"/>
      <c r="OPZ49" s="419"/>
      <c r="OQA49" s="419"/>
      <c r="OQB49" s="419"/>
      <c r="OQC49" s="419"/>
      <c r="OQD49" s="419"/>
      <c r="OQE49" s="419"/>
      <c r="OQF49" s="419"/>
      <c r="OQG49" s="419"/>
      <c r="OQH49" s="419"/>
      <c r="OQI49" s="419"/>
      <c r="OQJ49" s="419"/>
      <c r="OQK49" s="419"/>
      <c r="OQL49" s="419"/>
      <c r="OQM49" s="419"/>
      <c r="OQN49" s="419"/>
      <c r="OQO49" s="419"/>
      <c r="OQP49" s="419"/>
      <c r="OQQ49" s="419"/>
      <c r="OQR49" s="419"/>
      <c r="OQS49" s="419"/>
      <c r="OQT49" s="419"/>
      <c r="OQU49" s="419"/>
      <c r="OQV49" s="419"/>
      <c r="OQW49" s="419"/>
      <c r="OQX49" s="419"/>
      <c r="OQY49" s="419"/>
      <c r="OQZ49" s="419"/>
      <c r="ORA49" s="419"/>
      <c r="ORB49" s="419"/>
      <c r="ORC49" s="419"/>
      <c r="ORD49" s="419"/>
      <c r="ORE49" s="419"/>
      <c r="ORF49" s="419"/>
      <c r="ORG49" s="419"/>
      <c r="ORH49" s="419"/>
      <c r="ORI49" s="419"/>
      <c r="ORJ49" s="419"/>
      <c r="ORK49" s="419"/>
      <c r="ORL49" s="419"/>
      <c r="ORM49" s="419"/>
      <c r="ORN49" s="419"/>
      <c r="ORO49" s="419"/>
      <c r="ORP49" s="419"/>
      <c r="ORQ49" s="419"/>
      <c r="ORR49" s="419"/>
      <c r="ORS49" s="419"/>
      <c r="ORT49" s="419"/>
      <c r="ORU49" s="419"/>
      <c r="ORV49" s="419"/>
      <c r="ORW49" s="419"/>
      <c r="ORX49" s="419"/>
      <c r="ORY49" s="419"/>
      <c r="ORZ49" s="419"/>
      <c r="OSA49" s="419"/>
      <c r="OSB49" s="419"/>
      <c r="OSC49" s="419"/>
      <c r="OSD49" s="419"/>
      <c r="OSE49" s="419"/>
      <c r="OSF49" s="419"/>
      <c r="OSG49" s="419"/>
      <c r="OSH49" s="419"/>
      <c r="OSI49" s="419"/>
      <c r="OSJ49" s="419"/>
      <c r="OSK49" s="419"/>
      <c r="OSL49" s="419"/>
      <c r="OSM49" s="419"/>
      <c r="OSN49" s="419"/>
      <c r="OSO49" s="419"/>
      <c r="OSP49" s="419"/>
      <c r="OSQ49" s="419"/>
      <c r="OSR49" s="419"/>
      <c r="OSS49" s="419"/>
      <c r="OST49" s="419"/>
      <c r="OSU49" s="419"/>
      <c r="OSV49" s="419"/>
      <c r="OSW49" s="419"/>
      <c r="OSX49" s="419"/>
      <c r="OSY49" s="419"/>
      <c r="OSZ49" s="419"/>
      <c r="OTA49" s="419"/>
      <c r="OTB49" s="419"/>
      <c r="OTC49" s="419"/>
      <c r="OTD49" s="419"/>
      <c r="OTE49" s="419"/>
      <c r="OTF49" s="419"/>
      <c r="OTG49" s="419"/>
      <c r="OTH49" s="419"/>
      <c r="OTI49" s="419"/>
      <c r="OTJ49" s="419"/>
      <c r="OTK49" s="419"/>
      <c r="OTL49" s="419"/>
      <c r="OTM49" s="419"/>
      <c r="OTN49" s="419"/>
      <c r="OTO49" s="419"/>
      <c r="OTP49" s="419"/>
      <c r="OTQ49" s="419"/>
      <c r="OTR49" s="419"/>
      <c r="OTS49" s="419"/>
      <c r="OTT49" s="419"/>
      <c r="OTU49" s="419"/>
      <c r="OTV49" s="419"/>
      <c r="OTW49" s="419"/>
      <c r="OTX49" s="419"/>
      <c r="OTY49" s="419"/>
      <c r="OTZ49" s="419"/>
      <c r="OUA49" s="419"/>
      <c r="OUB49" s="419"/>
      <c r="OUC49" s="419"/>
      <c r="OUD49" s="419"/>
      <c r="OUE49" s="419"/>
      <c r="OUF49" s="419"/>
      <c r="OUG49" s="419"/>
      <c r="OUH49" s="419"/>
      <c r="OUI49" s="419"/>
      <c r="OUJ49" s="419"/>
      <c r="OUK49" s="419"/>
      <c r="OUL49" s="419"/>
      <c r="OUM49" s="419"/>
      <c r="OUN49" s="419"/>
      <c r="OUO49" s="419"/>
      <c r="OUP49" s="419"/>
      <c r="OUQ49" s="419"/>
      <c r="OUR49" s="419"/>
      <c r="OUS49" s="419"/>
      <c r="OUT49" s="419"/>
      <c r="OUU49" s="419"/>
      <c r="OUV49" s="419"/>
      <c r="OUW49" s="419"/>
      <c r="OUX49" s="419"/>
      <c r="OUY49" s="419"/>
      <c r="OUZ49" s="419"/>
      <c r="OVA49" s="419"/>
      <c r="OVB49" s="419"/>
      <c r="OVC49" s="419"/>
      <c r="OVD49" s="419"/>
      <c r="OVE49" s="419"/>
      <c r="OVF49" s="419"/>
      <c r="OVG49" s="419"/>
      <c r="OVH49" s="419"/>
      <c r="OVI49" s="419"/>
      <c r="OVJ49" s="419"/>
      <c r="OVK49" s="419"/>
      <c r="OVL49" s="419"/>
      <c r="OVM49" s="419"/>
      <c r="OVN49" s="419"/>
      <c r="OVO49" s="419"/>
      <c r="OVP49" s="419"/>
      <c r="OVQ49" s="419"/>
      <c r="OVR49" s="419"/>
      <c r="OVS49" s="419"/>
      <c r="OVT49" s="419"/>
      <c r="OVU49" s="419"/>
      <c r="OVV49" s="419"/>
      <c r="OVW49" s="419"/>
      <c r="OVX49" s="419"/>
      <c r="OVY49" s="419"/>
      <c r="OVZ49" s="419"/>
      <c r="OWA49" s="419"/>
      <c r="OWB49" s="419"/>
      <c r="OWC49" s="419"/>
      <c r="OWD49" s="419"/>
      <c r="OWE49" s="419"/>
      <c r="OWF49" s="419"/>
      <c r="OWG49" s="419"/>
      <c r="OWH49" s="419"/>
      <c r="OWI49" s="419"/>
      <c r="OWJ49" s="419"/>
      <c r="OWK49" s="419"/>
      <c r="OWL49" s="419"/>
      <c r="OWM49" s="419"/>
      <c r="OWN49" s="419"/>
      <c r="OWO49" s="419"/>
      <c r="OWP49" s="419"/>
      <c r="OWQ49" s="419"/>
      <c r="OWR49" s="419"/>
      <c r="OWS49" s="419"/>
      <c r="OWT49" s="419"/>
      <c r="OWU49" s="419"/>
      <c r="OWV49" s="419"/>
      <c r="OWW49" s="419"/>
      <c r="OWX49" s="419"/>
      <c r="OWY49" s="419"/>
      <c r="OWZ49" s="419"/>
      <c r="OXA49" s="419"/>
      <c r="OXB49" s="419"/>
      <c r="OXC49" s="419"/>
      <c r="OXD49" s="419"/>
      <c r="OXE49" s="419"/>
      <c r="OXF49" s="419"/>
      <c r="OXG49" s="419"/>
      <c r="OXH49" s="419"/>
      <c r="OXI49" s="419"/>
      <c r="OXJ49" s="419"/>
      <c r="OXK49" s="419"/>
      <c r="OXL49" s="419"/>
      <c r="OXM49" s="419"/>
      <c r="OXN49" s="419"/>
      <c r="OXO49" s="419"/>
      <c r="OXP49" s="419"/>
      <c r="OXQ49" s="419"/>
      <c r="OXR49" s="419"/>
      <c r="OXS49" s="419"/>
      <c r="OXT49" s="419"/>
      <c r="OXU49" s="419"/>
      <c r="OXV49" s="419"/>
      <c r="OXW49" s="419"/>
      <c r="OXX49" s="419"/>
      <c r="OXY49" s="419"/>
      <c r="OXZ49" s="419"/>
      <c r="OYA49" s="419"/>
      <c r="OYB49" s="419"/>
      <c r="OYC49" s="419"/>
      <c r="OYD49" s="419"/>
      <c r="OYE49" s="419"/>
      <c r="OYF49" s="419"/>
      <c r="OYG49" s="419"/>
      <c r="OYH49" s="419"/>
      <c r="OYI49" s="419"/>
      <c r="OYJ49" s="419"/>
      <c r="OYK49" s="419"/>
      <c r="OYL49" s="419"/>
      <c r="OYM49" s="419"/>
      <c r="OYN49" s="419"/>
      <c r="OYO49" s="419"/>
      <c r="OYP49" s="419"/>
      <c r="OYQ49" s="419"/>
      <c r="OYR49" s="419"/>
      <c r="OYS49" s="419"/>
      <c r="OYT49" s="419"/>
      <c r="OYU49" s="419"/>
      <c r="OYV49" s="419"/>
      <c r="OYW49" s="419"/>
      <c r="OYX49" s="419"/>
      <c r="OYY49" s="419"/>
      <c r="OYZ49" s="419"/>
      <c r="OZA49" s="419"/>
      <c r="OZB49" s="419"/>
      <c r="OZC49" s="419"/>
      <c r="OZD49" s="419"/>
      <c r="OZE49" s="419"/>
      <c r="OZF49" s="419"/>
      <c r="OZG49" s="419"/>
      <c r="OZH49" s="419"/>
      <c r="OZI49" s="419"/>
      <c r="OZJ49" s="419"/>
      <c r="OZK49" s="419"/>
      <c r="OZL49" s="419"/>
      <c r="OZM49" s="419"/>
      <c r="OZN49" s="419"/>
      <c r="OZO49" s="419"/>
      <c r="OZP49" s="419"/>
      <c r="OZQ49" s="419"/>
      <c r="OZR49" s="419"/>
      <c r="OZS49" s="419"/>
      <c r="OZT49" s="419"/>
      <c r="OZU49" s="419"/>
      <c r="OZV49" s="419"/>
      <c r="OZW49" s="419"/>
      <c r="OZX49" s="419"/>
      <c r="OZY49" s="419"/>
      <c r="OZZ49" s="419"/>
      <c r="PAA49" s="419"/>
      <c r="PAB49" s="419"/>
      <c r="PAC49" s="419"/>
      <c r="PAD49" s="419"/>
      <c r="PAE49" s="419"/>
      <c r="PAF49" s="419"/>
      <c r="PAG49" s="419"/>
      <c r="PAH49" s="419"/>
      <c r="PAI49" s="419"/>
      <c r="PAJ49" s="419"/>
      <c r="PAK49" s="419"/>
      <c r="PAL49" s="419"/>
      <c r="PAM49" s="419"/>
      <c r="PAN49" s="419"/>
      <c r="PAO49" s="419"/>
      <c r="PAP49" s="419"/>
      <c r="PAQ49" s="419"/>
      <c r="PAR49" s="419"/>
      <c r="PAS49" s="419"/>
      <c r="PAT49" s="419"/>
      <c r="PAU49" s="419"/>
      <c r="PAV49" s="419"/>
      <c r="PAW49" s="419"/>
      <c r="PAX49" s="419"/>
      <c r="PAY49" s="419"/>
      <c r="PAZ49" s="419"/>
      <c r="PBA49" s="419"/>
      <c r="PBB49" s="419"/>
      <c r="PBC49" s="419"/>
      <c r="PBD49" s="419"/>
      <c r="PBE49" s="419"/>
      <c r="PBF49" s="419"/>
      <c r="PBG49" s="419"/>
      <c r="PBH49" s="419"/>
      <c r="PBI49" s="419"/>
      <c r="PBJ49" s="419"/>
      <c r="PBK49" s="419"/>
      <c r="PBL49" s="419"/>
      <c r="PBM49" s="419"/>
      <c r="PBN49" s="419"/>
      <c r="PBO49" s="419"/>
      <c r="PBP49" s="419"/>
      <c r="PBQ49" s="419"/>
      <c r="PBR49" s="419"/>
      <c r="PBS49" s="419"/>
      <c r="PBT49" s="419"/>
      <c r="PBU49" s="419"/>
      <c r="PBV49" s="419"/>
      <c r="PBW49" s="419"/>
      <c r="PBX49" s="419"/>
      <c r="PBY49" s="419"/>
      <c r="PBZ49" s="419"/>
      <c r="PCA49" s="419"/>
      <c r="PCB49" s="419"/>
      <c r="PCC49" s="419"/>
      <c r="PCD49" s="419"/>
      <c r="PCE49" s="419"/>
      <c r="PCF49" s="419"/>
      <c r="PCG49" s="419"/>
      <c r="PCH49" s="419"/>
      <c r="PCI49" s="419"/>
      <c r="PCJ49" s="419"/>
      <c r="PCK49" s="419"/>
      <c r="PCL49" s="419"/>
      <c r="PCM49" s="419"/>
      <c r="PCN49" s="419"/>
      <c r="PCO49" s="419"/>
      <c r="PCP49" s="419"/>
      <c r="PCQ49" s="419"/>
      <c r="PCR49" s="419"/>
      <c r="PCS49" s="419"/>
      <c r="PCT49" s="419"/>
      <c r="PCU49" s="419"/>
      <c r="PCV49" s="419"/>
      <c r="PCW49" s="419"/>
      <c r="PCX49" s="419"/>
      <c r="PCY49" s="419"/>
      <c r="PCZ49" s="419"/>
      <c r="PDA49" s="419"/>
      <c r="PDB49" s="419"/>
      <c r="PDC49" s="419"/>
      <c r="PDD49" s="419"/>
      <c r="PDE49" s="419"/>
      <c r="PDF49" s="419"/>
      <c r="PDG49" s="419"/>
      <c r="PDH49" s="419"/>
      <c r="PDI49" s="419"/>
      <c r="PDJ49" s="419"/>
      <c r="PDK49" s="419"/>
      <c r="PDL49" s="419"/>
      <c r="PDM49" s="419"/>
      <c r="PDN49" s="419"/>
      <c r="PDO49" s="419"/>
      <c r="PDP49" s="419"/>
      <c r="PDQ49" s="419"/>
      <c r="PDR49" s="419"/>
      <c r="PDS49" s="419"/>
      <c r="PDT49" s="419"/>
      <c r="PDU49" s="419"/>
      <c r="PDV49" s="419"/>
      <c r="PDW49" s="419"/>
      <c r="PDX49" s="419"/>
      <c r="PDY49" s="419"/>
      <c r="PDZ49" s="419"/>
      <c r="PEA49" s="419"/>
      <c r="PEB49" s="419"/>
      <c r="PEC49" s="419"/>
      <c r="PED49" s="419"/>
      <c r="PEE49" s="419"/>
      <c r="PEF49" s="419"/>
      <c r="PEG49" s="419"/>
      <c r="PEH49" s="419"/>
      <c r="PEI49" s="419"/>
      <c r="PEJ49" s="419"/>
      <c r="PEK49" s="419"/>
      <c r="PEL49" s="419"/>
      <c r="PEM49" s="419"/>
      <c r="PEN49" s="419"/>
      <c r="PEO49" s="419"/>
      <c r="PEP49" s="419"/>
      <c r="PEQ49" s="419"/>
      <c r="PER49" s="419"/>
      <c r="PES49" s="419"/>
      <c r="PET49" s="419"/>
      <c r="PEU49" s="419"/>
      <c r="PEV49" s="419"/>
      <c r="PEW49" s="419"/>
      <c r="PEX49" s="419"/>
      <c r="PEY49" s="419"/>
      <c r="PEZ49" s="419"/>
      <c r="PFA49" s="419"/>
      <c r="PFB49" s="419"/>
      <c r="PFC49" s="419"/>
      <c r="PFD49" s="419"/>
      <c r="PFE49" s="419"/>
      <c r="PFF49" s="419"/>
      <c r="PFG49" s="419"/>
      <c r="PFH49" s="419"/>
      <c r="PFI49" s="419"/>
      <c r="PFJ49" s="419"/>
      <c r="PFK49" s="419"/>
      <c r="PFL49" s="419"/>
      <c r="PFM49" s="419"/>
      <c r="PFN49" s="419"/>
      <c r="PFO49" s="419"/>
      <c r="PFP49" s="419"/>
      <c r="PFQ49" s="419"/>
      <c r="PFR49" s="419"/>
      <c r="PFS49" s="419"/>
      <c r="PFT49" s="419"/>
      <c r="PFU49" s="419"/>
      <c r="PFV49" s="419"/>
      <c r="PFW49" s="419"/>
      <c r="PFX49" s="419"/>
      <c r="PFY49" s="419"/>
      <c r="PFZ49" s="419"/>
      <c r="PGA49" s="419"/>
      <c r="PGB49" s="419"/>
      <c r="PGC49" s="419"/>
      <c r="PGD49" s="419"/>
      <c r="PGE49" s="419"/>
      <c r="PGF49" s="419"/>
      <c r="PGG49" s="419"/>
      <c r="PGH49" s="419"/>
      <c r="PGI49" s="419"/>
      <c r="PGJ49" s="419"/>
      <c r="PGK49" s="419"/>
      <c r="PGL49" s="419"/>
      <c r="PGM49" s="419"/>
      <c r="PGN49" s="419"/>
      <c r="PGO49" s="419"/>
      <c r="PGP49" s="419"/>
      <c r="PGQ49" s="419"/>
      <c r="PGR49" s="419"/>
      <c r="PGS49" s="419"/>
      <c r="PGT49" s="419"/>
      <c r="PGU49" s="419"/>
      <c r="PGV49" s="419"/>
      <c r="PGW49" s="419"/>
      <c r="PGX49" s="419"/>
      <c r="PGY49" s="419"/>
      <c r="PGZ49" s="419"/>
      <c r="PHA49" s="419"/>
      <c r="PHB49" s="419"/>
      <c r="PHC49" s="419"/>
      <c r="PHD49" s="419"/>
      <c r="PHE49" s="419"/>
      <c r="PHF49" s="419"/>
      <c r="PHG49" s="419"/>
      <c r="PHH49" s="419"/>
      <c r="PHI49" s="419"/>
      <c r="PHJ49" s="419"/>
      <c r="PHK49" s="419"/>
      <c r="PHL49" s="419"/>
      <c r="PHM49" s="419"/>
      <c r="PHN49" s="419"/>
      <c r="PHO49" s="419"/>
      <c r="PHP49" s="419"/>
      <c r="PHQ49" s="419"/>
      <c r="PHR49" s="419"/>
      <c r="PHS49" s="419"/>
      <c r="PHT49" s="419"/>
      <c r="PHU49" s="419"/>
      <c r="PHV49" s="419"/>
      <c r="PHW49" s="419"/>
      <c r="PHX49" s="419"/>
      <c r="PHY49" s="419"/>
      <c r="PHZ49" s="419"/>
      <c r="PIA49" s="419"/>
      <c r="PIB49" s="419"/>
      <c r="PIC49" s="419"/>
      <c r="PID49" s="419"/>
      <c r="PIE49" s="419"/>
      <c r="PIF49" s="419"/>
      <c r="PIG49" s="419"/>
      <c r="PIH49" s="419"/>
      <c r="PII49" s="419"/>
      <c r="PIJ49" s="419"/>
      <c r="PIK49" s="419"/>
      <c r="PIL49" s="419"/>
      <c r="PIM49" s="419"/>
      <c r="PIN49" s="419"/>
      <c r="PIO49" s="419"/>
      <c r="PIP49" s="419"/>
      <c r="PIQ49" s="419"/>
      <c r="PIR49" s="419"/>
      <c r="PIS49" s="419"/>
      <c r="PIT49" s="419"/>
      <c r="PIU49" s="419"/>
      <c r="PIV49" s="419"/>
      <c r="PIW49" s="419"/>
      <c r="PIX49" s="419"/>
      <c r="PIY49" s="419"/>
      <c r="PIZ49" s="419"/>
      <c r="PJA49" s="419"/>
      <c r="PJB49" s="419"/>
      <c r="PJC49" s="419"/>
      <c r="PJD49" s="419"/>
      <c r="PJE49" s="419"/>
      <c r="PJF49" s="419"/>
      <c r="PJG49" s="419"/>
      <c r="PJH49" s="419"/>
      <c r="PJI49" s="419"/>
      <c r="PJJ49" s="419"/>
      <c r="PJK49" s="419"/>
      <c r="PJL49" s="419"/>
      <c r="PJM49" s="419"/>
      <c r="PJN49" s="419"/>
      <c r="PJO49" s="419"/>
      <c r="PJP49" s="419"/>
      <c r="PJQ49" s="419"/>
      <c r="PJR49" s="419"/>
      <c r="PJS49" s="419"/>
      <c r="PJT49" s="419"/>
      <c r="PJU49" s="419"/>
      <c r="PJV49" s="419"/>
      <c r="PJW49" s="419"/>
      <c r="PJX49" s="419"/>
      <c r="PJY49" s="419"/>
      <c r="PJZ49" s="419"/>
      <c r="PKA49" s="419"/>
      <c r="PKB49" s="419"/>
      <c r="PKC49" s="419"/>
      <c r="PKD49" s="419"/>
      <c r="PKE49" s="419"/>
      <c r="PKF49" s="419"/>
      <c r="PKG49" s="419"/>
      <c r="PKH49" s="419"/>
      <c r="PKI49" s="419"/>
      <c r="PKJ49" s="419"/>
      <c r="PKK49" s="419"/>
      <c r="PKL49" s="419"/>
      <c r="PKM49" s="419"/>
      <c r="PKN49" s="419"/>
      <c r="PKO49" s="419"/>
      <c r="PKP49" s="419"/>
      <c r="PKQ49" s="419"/>
      <c r="PKR49" s="419"/>
      <c r="PKS49" s="419"/>
      <c r="PKT49" s="419"/>
      <c r="PKU49" s="419"/>
      <c r="PKV49" s="419"/>
      <c r="PKW49" s="419"/>
      <c r="PKX49" s="419"/>
      <c r="PKY49" s="419"/>
      <c r="PKZ49" s="419"/>
      <c r="PLA49" s="419"/>
      <c r="PLB49" s="419"/>
      <c r="PLC49" s="419"/>
      <c r="PLD49" s="419"/>
      <c r="PLE49" s="419"/>
      <c r="PLF49" s="419"/>
      <c r="PLG49" s="419"/>
      <c r="PLH49" s="419"/>
      <c r="PLI49" s="419"/>
      <c r="PLJ49" s="419"/>
      <c r="PLK49" s="419"/>
      <c r="PLL49" s="419"/>
      <c r="PLM49" s="419"/>
      <c r="PLN49" s="419"/>
      <c r="PLO49" s="419"/>
      <c r="PLP49" s="419"/>
      <c r="PLQ49" s="419"/>
      <c r="PLR49" s="419"/>
      <c r="PLS49" s="419"/>
      <c r="PLT49" s="419"/>
      <c r="PLU49" s="419"/>
      <c r="PLV49" s="419"/>
      <c r="PLW49" s="419"/>
      <c r="PLX49" s="419"/>
      <c r="PLY49" s="419"/>
      <c r="PLZ49" s="419"/>
      <c r="PMA49" s="419"/>
      <c r="PMB49" s="419"/>
      <c r="PMC49" s="419"/>
      <c r="PMD49" s="419"/>
      <c r="PME49" s="419"/>
      <c r="PMF49" s="419"/>
      <c r="PMG49" s="419"/>
      <c r="PMH49" s="419"/>
      <c r="PMI49" s="419"/>
      <c r="PMJ49" s="419"/>
      <c r="PMK49" s="419"/>
      <c r="PML49" s="419"/>
      <c r="PMM49" s="419"/>
      <c r="PMN49" s="419"/>
      <c r="PMO49" s="419"/>
      <c r="PMP49" s="419"/>
      <c r="PMQ49" s="419"/>
      <c r="PMR49" s="419"/>
      <c r="PMS49" s="419"/>
      <c r="PMT49" s="419"/>
      <c r="PMU49" s="419"/>
      <c r="PMV49" s="419"/>
      <c r="PMW49" s="419"/>
      <c r="PMX49" s="419"/>
      <c r="PMY49" s="419"/>
      <c r="PMZ49" s="419"/>
      <c r="PNA49" s="419"/>
      <c r="PNB49" s="419"/>
      <c r="PNC49" s="419"/>
      <c r="PND49" s="419"/>
      <c r="PNE49" s="419"/>
      <c r="PNF49" s="419"/>
      <c r="PNG49" s="419"/>
      <c r="PNH49" s="419"/>
      <c r="PNI49" s="419"/>
      <c r="PNJ49" s="419"/>
      <c r="PNK49" s="419"/>
      <c r="PNL49" s="419"/>
      <c r="PNM49" s="419"/>
      <c r="PNN49" s="419"/>
      <c r="PNO49" s="419"/>
      <c r="PNP49" s="419"/>
      <c r="PNQ49" s="419"/>
      <c r="PNR49" s="419"/>
      <c r="PNS49" s="419"/>
      <c r="PNT49" s="419"/>
      <c r="PNU49" s="419"/>
      <c r="PNV49" s="419"/>
      <c r="PNW49" s="419"/>
      <c r="PNX49" s="419"/>
      <c r="PNY49" s="419"/>
      <c r="PNZ49" s="419"/>
      <c r="POA49" s="419"/>
      <c r="POB49" s="419"/>
      <c r="POC49" s="419"/>
      <c r="POD49" s="419"/>
      <c r="POE49" s="419"/>
      <c r="POF49" s="419"/>
      <c r="POG49" s="419"/>
      <c r="POH49" s="419"/>
      <c r="POI49" s="419"/>
      <c r="POJ49" s="419"/>
      <c r="POK49" s="419"/>
      <c r="POL49" s="419"/>
      <c r="POM49" s="419"/>
      <c r="PON49" s="419"/>
      <c r="POO49" s="419"/>
      <c r="POP49" s="419"/>
      <c r="POQ49" s="419"/>
      <c r="POR49" s="419"/>
      <c r="POS49" s="419"/>
      <c r="POT49" s="419"/>
      <c r="POU49" s="419"/>
      <c r="POV49" s="419"/>
      <c r="POW49" s="419"/>
      <c r="POX49" s="419"/>
      <c r="POY49" s="419"/>
      <c r="POZ49" s="419"/>
      <c r="PPA49" s="419"/>
      <c r="PPB49" s="419"/>
      <c r="PPC49" s="419"/>
      <c r="PPD49" s="419"/>
      <c r="PPE49" s="419"/>
      <c r="PPF49" s="419"/>
      <c r="PPG49" s="419"/>
      <c r="PPH49" s="419"/>
      <c r="PPI49" s="419"/>
      <c r="PPJ49" s="419"/>
      <c r="PPK49" s="419"/>
      <c r="PPL49" s="419"/>
      <c r="PPM49" s="419"/>
      <c r="PPN49" s="419"/>
      <c r="PPO49" s="419"/>
      <c r="PPP49" s="419"/>
      <c r="PPQ49" s="419"/>
      <c r="PPR49" s="419"/>
      <c r="PPS49" s="419"/>
      <c r="PPT49" s="419"/>
      <c r="PPU49" s="419"/>
      <c r="PPV49" s="419"/>
      <c r="PPW49" s="419"/>
      <c r="PPX49" s="419"/>
      <c r="PPY49" s="419"/>
      <c r="PPZ49" s="419"/>
      <c r="PQA49" s="419"/>
      <c r="PQB49" s="419"/>
      <c r="PQC49" s="419"/>
      <c r="PQD49" s="419"/>
      <c r="PQE49" s="419"/>
      <c r="PQF49" s="419"/>
      <c r="PQG49" s="419"/>
      <c r="PQH49" s="419"/>
      <c r="PQI49" s="419"/>
      <c r="PQJ49" s="419"/>
      <c r="PQK49" s="419"/>
      <c r="PQL49" s="419"/>
      <c r="PQM49" s="419"/>
      <c r="PQN49" s="419"/>
      <c r="PQO49" s="419"/>
      <c r="PQP49" s="419"/>
      <c r="PQQ49" s="419"/>
      <c r="PQR49" s="419"/>
      <c r="PQS49" s="419"/>
      <c r="PQT49" s="419"/>
      <c r="PQU49" s="419"/>
      <c r="PQV49" s="419"/>
      <c r="PQW49" s="419"/>
      <c r="PQX49" s="419"/>
      <c r="PQY49" s="419"/>
      <c r="PQZ49" s="419"/>
      <c r="PRA49" s="419"/>
      <c r="PRB49" s="419"/>
      <c r="PRC49" s="419"/>
      <c r="PRD49" s="419"/>
      <c r="PRE49" s="419"/>
      <c r="PRF49" s="419"/>
      <c r="PRG49" s="419"/>
      <c r="PRH49" s="419"/>
      <c r="PRI49" s="419"/>
      <c r="PRJ49" s="419"/>
      <c r="PRK49" s="419"/>
      <c r="PRL49" s="419"/>
      <c r="PRM49" s="419"/>
      <c r="PRN49" s="419"/>
      <c r="PRO49" s="419"/>
      <c r="PRP49" s="419"/>
      <c r="PRQ49" s="419"/>
      <c r="PRR49" s="419"/>
      <c r="PRS49" s="419"/>
      <c r="PRT49" s="419"/>
      <c r="PRU49" s="419"/>
      <c r="PRV49" s="419"/>
      <c r="PRW49" s="419"/>
      <c r="PRX49" s="419"/>
      <c r="PRY49" s="419"/>
      <c r="PRZ49" s="419"/>
      <c r="PSA49" s="419"/>
      <c r="PSB49" s="419"/>
      <c r="PSC49" s="419"/>
      <c r="PSD49" s="419"/>
      <c r="PSE49" s="419"/>
      <c r="PSF49" s="419"/>
      <c r="PSG49" s="419"/>
      <c r="PSH49" s="419"/>
      <c r="PSI49" s="419"/>
      <c r="PSJ49" s="419"/>
      <c r="PSK49" s="419"/>
      <c r="PSL49" s="419"/>
      <c r="PSM49" s="419"/>
      <c r="PSN49" s="419"/>
      <c r="PSO49" s="419"/>
      <c r="PSP49" s="419"/>
      <c r="PSQ49" s="419"/>
      <c r="PSR49" s="419"/>
      <c r="PSS49" s="419"/>
      <c r="PST49" s="419"/>
      <c r="PSU49" s="419"/>
      <c r="PSV49" s="419"/>
      <c r="PSW49" s="419"/>
      <c r="PSX49" s="419"/>
      <c r="PSY49" s="419"/>
      <c r="PSZ49" s="419"/>
      <c r="PTA49" s="419"/>
      <c r="PTB49" s="419"/>
      <c r="PTC49" s="419"/>
      <c r="PTD49" s="419"/>
      <c r="PTE49" s="419"/>
      <c r="PTF49" s="419"/>
      <c r="PTG49" s="419"/>
      <c r="PTH49" s="419"/>
      <c r="PTI49" s="419"/>
      <c r="PTJ49" s="419"/>
      <c r="PTK49" s="419"/>
      <c r="PTL49" s="419"/>
      <c r="PTM49" s="419"/>
      <c r="PTN49" s="419"/>
      <c r="PTO49" s="419"/>
      <c r="PTP49" s="419"/>
      <c r="PTQ49" s="419"/>
      <c r="PTR49" s="419"/>
      <c r="PTS49" s="419"/>
      <c r="PTT49" s="419"/>
      <c r="PTU49" s="419"/>
      <c r="PTV49" s="419"/>
      <c r="PTW49" s="419"/>
      <c r="PTX49" s="419"/>
      <c r="PTY49" s="419"/>
      <c r="PTZ49" s="419"/>
      <c r="PUA49" s="419"/>
      <c r="PUB49" s="419"/>
      <c r="PUC49" s="419"/>
      <c r="PUD49" s="419"/>
      <c r="PUE49" s="419"/>
      <c r="PUF49" s="419"/>
      <c r="PUG49" s="419"/>
      <c r="PUH49" s="419"/>
      <c r="PUI49" s="419"/>
      <c r="PUJ49" s="419"/>
      <c r="PUK49" s="419"/>
      <c r="PUL49" s="419"/>
      <c r="PUM49" s="419"/>
      <c r="PUN49" s="419"/>
      <c r="PUO49" s="419"/>
      <c r="PUP49" s="419"/>
      <c r="PUQ49" s="419"/>
      <c r="PUR49" s="419"/>
      <c r="PUS49" s="419"/>
      <c r="PUT49" s="419"/>
      <c r="PUU49" s="419"/>
      <c r="PUV49" s="419"/>
      <c r="PUW49" s="419"/>
      <c r="PUX49" s="419"/>
      <c r="PUY49" s="419"/>
      <c r="PUZ49" s="419"/>
      <c r="PVA49" s="419"/>
      <c r="PVB49" s="419"/>
      <c r="PVC49" s="419"/>
      <c r="PVD49" s="419"/>
      <c r="PVE49" s="419"/>
      <c r="PVF49" s="419"/>
      <c r="PVG49" s="419"/>
      <c r="PVH49" s="419"/>
      <c r="PVI49" s="419"/>
      <c r="PVJ49" s="419"/>
      <c r="PVK49" s="419"/>
      <c r="PVL49" s="419"/>
      <c r="PVM49" s="419"/>
      <c r="PVN49" s="419"/>
      <c r="PVO49" s="419"/>
      <c r="PVP49" s="419"/>
      <c r="PVQ49" s="419"/>
      <c r="PVR49" s="419"/>
      <c r="PVS49" s="419"/>
      <c r="PVT49" s="419"/>
      <c r="PVU49" s="419"/>
      <c r="PVV49" s="419"/>
      <c r="PVW49" s="419"/>
      <c r="PVX49" s="419"/>
      <c r="PVY49" s="419"/>
      <c r="PVZ49" s="419"/>
      <c r="PWA49" s="419"/>
      <c r="PWB49" s="419"/>
      <c r="PWC49" s="419"/>
      <c r="PWD49" s="419"/>
      <c r="PWE49" s="419"/>
      <c r="PWF49" s="419"/>
      <c r="PWG49" s="419"/>
      <c r="PWH49" s="419"/>
      <c r="PWI49" s="419"/>
      <c r="PWJ49" s="419"/>
      <c r="PWK49" s="419"/>
      <c r="PWL49" s="419"/>
      <c r="PWM49" s="419"/>
      <c r="PWN49" s="419"/>
      <c r="PWO49" s="419"/>
      <c r="PWP49" s="419"/>
      <c r="PWQ49" s="419"/>
      <c r="PWR49" s="419"/>
      <c r="PWS49" s="419"/>
      <c r="PWT49" s="419"/>
      <c r="PWU49" s="419"/>
      <c r="PWV49" s="419"/>
      <c r="PWW49" s="419"/>
      <c r="PWX49" s="419"/>
      <c r="PWY49" s="419"/>
      <c r="PWZ49" s="419"/>
      <c r="PXA49" s="419"/>
      <c r="PXB49" s="419"/>
      <c r="PXC49" s="419"/>
      <c r="PXD49" s="419"/>
      <c r="PXE49" s="419"/>
      <c r="PXF49" s="419"/>
      <c r="PXG49" s="419"/>
      <c r="PXH49" s="419"/>
      <c r="PXI49" s="419"/>
      <c r="PXJ49" s="419"/>
      <c r="PXK49" s="419"/>
      <c r="PXL49" s="419"/>
      <c r="PXM49" s="419"/>
      <c r="PXN49" s="419"/>
      <c r="PXO49" s="419"/>
      <c r="PXP49" s="419"/>
      <c r="PXQ49" s="419"/>
      <c r="PXR49" s="419"/>
      <c r="PXS49" s="419"/>
      <c r="PXT49" s="419"/>
      <c r="PXU49" s="419"/>
      <c r="PXV49" s="419"/>
      <c r="PXW49" s="419"/>
      <c r="PXX49" s="419"/>
      <c r="PXY49" s="419"/>
      <c r="PXZ49" s="419"/>
      <c r="PYA49" s="419"/>
      <c r="PYB49" s="419"/>
      <c r="PYC49" s="419"/>
      <c r="PYD49" s="419"/>
      <c r="PYE49" s="419"/>
      <c r="PYF49" s="419"/>
      <c r="PYG49" s="419"/>
      <c r="PYH49" s="419"/>
      <c r="PYI49" s="419"/>
      <c r="PYJ49" s="419"/>
      <c r="PYK49" s="419"/>
      <c r="PYL49" s="419"/>
      <c r="PYM49" s="419"/>
      <c r="PYN49" s="419"/>
      <c r="PYO49" s="419"/>
      <c r="PYP49" s="419"/>
      <c r="PYQ49" s="419"/>
      <c r="PYR49" s="419"/>
      <c r="PYS49" s="419"/>
      <c r="PYT49" s="419"/>
      <c r="PYU49" s="419"/>
      <c r="PYV49" s="419"/>
      <c r="PYW49" s="419"/>
      <c r="PYX49" s="419"/>
      <c r="PYY49" s="419"/>
      <c r="PYZ49" s="419"/>
      <c r="PZA49" s="419"/>
      <c r="PZB49" s="419"/>
      <c r="PZC49" s="419"/>
      <c r="PZD49" s="419"/>
      <c r="PZE49" s="419"/>
      <c r="PZF49" s="419"/>
      <c r="PZG49" s="419"/>
      <c r="PZH49" s="419"/>
      <c r="PZI49" s="419"/>
      <c r="PZJ49" s="419"/>
      <c r="PZK49" s="419"/>
      <c r="PZL49" s="419"/>
      <c r="PZM49" s="419"/>
      <c r="PZN49" s="419"/>
      <c r="PZO49" s="419"/>
      <c r="PZP49" s="419"/>
      <c r="PZQ49" s="419"/>
      <c r="PZR49" s="419"/>
      <c r="PZS49" s="419"/>
      <c r="PZT49" s="419"/>
      <c r="PZU49" s="419"/>
      <c r="PZV49" s="419"/>
      <c r="PZW49" s="419"/>
      <c r="PZX49" s="419"/>
      <c r="PZY49" s="419"/>
      <c r="PZZ49" s="419"/>
      <c r="QAA49" s="419"/>
      <c r="QAB49" s="419"/>
      <c r="QAC49" s="419"/>
      <c r="QAD49" s="419"/>
      <c r="QAE49" s="419"/>
      <c r="QAF49" s="419"/>
      <c r="QAG49" s="419"/>
      <c r="QAH49" s="419"/>
      <c r="QAI49" s="419"/>
      <c r="QAJ49" s="419"/>
      <c r="QAK49" s="419"/>
      <c r="QAL49" s="419"/>
      <c r="QAM49" s="419"/>
      <c r="QAN49" s="419"/>
      <c r="QAO49" s="419"/>
      <c r="QAP49" s="419"/>
      <c r="QAQ49" s="419"/>
      <c r="QAR49" s="419"/>
      <c r="QAS49" s="419"/>
      <c r="QAT49" s="419"/>
      <c r="QAU49" s="419"/>
      <c r="QAV49" s="419"/>
      <c r="QAW49" s="419"/>
      <c r="QAX49" s="419"/>
      <c r="QAY49" s="419"/>
      <c r="QAZ49" s="419"/>
      <c r="QBA49" s="419"/>
      <c r="QBB49" s="419"/>
      <c r="QBC49" s="419"/>
      <c r="QBD49" s="419"/>
      <c r="QBE49" s="419"/>
      <c r="QBF49" s="419"/>
      <c r="QBG49" s="419"/>
      <c r="QBH49" s="419"/>
      <c r="QBI49" s="419"/>
      <c r="QBJ49" s="419"/>
      <c r="QBK49" s="419"/>
      <c r="QBL49" s="419"/>
      <c r="QBM49" s="419"/>
      <c r="QBN49" s="419"/>
      <c r="QBO49" s="419"/>
      <c r="QBP49" s="419"/>
      <c r="QBQ49" s="419"/>
      <c r="QBR49" s="419"/>
      <c r="QBS49" s="419"/>
      <c r="QBT49" s="419"/>
      <c r="QBU49" s="419"/>
      <c r="QBV49" s="419"/>
      <c r="QBW49" s="419"/>
      <c r="QBX49" s="419"/>
      <c r="QBY49" s="419"/>
      <c r="QBZ49" s="419"/>
      <c r="QCA49" s="419"/>
      <c r="QCB49" s="419"/>
      <c r="QCC49" s="419"/>
      <c r="QCD49" s="419"/>
      <c r="QCE49" s="419"/>
      <c r="QCF49" s="419"/>
      <c r="QCG49" s="419"/>
      <c r="QCH49" s="419"/>
      <c r="QCI49" s="419"/>
      <c r="QCJ49" s="419"/>
      <c r="QCK49" s="419"/>
      <c r="QCL49" s="419"/>
      <c r="QCM49" s="419"/>
      <c r="QCN49" s="419"/>
      <c r="QCO49" s="419"/>
      <c r="QCP49" s="419"/>
      <c r="QCQ49" s="419"/>
      <c r="QCR49" s="419"/>
      <c r="QCS49" s="419"/>
      <c r="QCT49" s="419"/>
      <c r="QCU49" s="419"/>
      <c r="QCV49" s="419"/>
      <c r="QCW49" s="419"/>
      <c r="QCX49" s="419"/>
      <c r="QCY49" s="419"/>
      <c r="QCZ49" s="419"/>
      <c r="QDA49" s="419"/>
      <c r="QDB49" s="419"/>
      <c r="QDC49" s="419"/>
      <c r="QDD49" s="419"/>
      <c r="QDE49" s="419"/>
      <c r="QDF49" s="419"/>
      <c r="QDG49" s="419"/>
      <c r="QDH49" s="419"/>
      <c r="QDI49" s="419"/>
      <c r="QDJ49" s="419"/>
      <c r="QDK49" s="419"/>
      <c r="QDL49" s="419"/>
      <c r="QDM49" s="419"/>
      <c r="QDN49" s="419"/>
      <c r="QDO49" s="419"/>
      <c r="QDP49" s="419"/>
      <c r="QDQ49" s="419"/>
      <c r="QDR49" s="419"/>
      <c r="QDS49" s="419"/>
      <c r="QDT49" s="419"/>
      <c r="QDU49" s="419"/>
      <c r="QDV49" s="419"/>
      <c r="QDW49" s="419"/>
      <c r="QDX49" s="419"/>
      <c r="QDY49" s="419"/>
      <c r="QDZ49" s="419"/>
      <c r="QEA49" s="419"/>
      <c r="QEB49" s="419"/>
      <c r="QEC49" s="419"/>
      <c r="QED49" s="419"/>
      <c r="QEE49" s="419"/>
      <c r="QEF49" s="419"/>
      <c r="QEG49" s="419"/>
      <c r="QEH49" s="419"/>
      <c r="QEI49" s="419"/>
      <c r="QEJ49" s="419"/>
      <c r="QEK49" s="419"/>
      <c r="QEL49" s="419"/>
      <c r="QEM49" s="419"/>
      <c r="QEN49" s="419"/>
      <c r="QEO49" s="419"/>
      <c r="QEP49" s="419"/>
      <c r="QEQ49" s="419"/>
      <c r="QER49" s="419"/>
      <c r="QES49" s="419"/>
      <c r="QET49" s="419"/>
      <c r="QEU49" s="419"/>
      <c r="QEV49" s="419"/>
      <c r="QEW49" s="419"/>
      <c r="QEX49" s="419"/>
      <c r="QEY49" s="419"/>
      <c r="QEZ49" s="419"/>
      <c r="QFA49" s="419"/>
      <c r="QFB49" s="419"/>
      <c r="QFC49" s="419"/>
      <c r="QFD49" s="419"/>
      <c r="QFE49" s="419"/>
      <c r="QFF49" s="419"/>
      <c r="QFG49" s="419"/>
      <c r="QFH49" s="419"/>
      <c r="QFI49" s="419"/>
      <c r="QFJ49" s="419"/>
      <c r="QFK49" s="419"/>
      <c r="QFL49" s="419"/>
      <c r="QFM49" s="419"/>
      <c r="QFN49" s="419"/>
      <c r="QFO49" s="419"/>
      <c r="QFP49" s="419"/>
      <c r="QFQ49" s="419"/>
      <c r="QFR49" s="419"/>
      <c r="QFS49" s="419"/>
      <c r="QFT49" s="419"/>
      <c r="QFU49" s="419"/>
      <c r="QFV49" s="419"/>
      <c r="QFW49" s="419"/>
      <c r="QFX49" s="419"/>
      <c r="QFY49" s="419"/>
      <c r="QFZ49" s="419"/>
      <c r="QGA49" s="419"/>
      <c r="QGB49" s="419"/>
      <c r="QGC49" s="419"/>
      <c r="QGD49" s="419"/>
      <c r="QGE49" s="419"/>
      <c r="QGF49" s="419"/>
      <c r="QGG49" s="419"/>
      <c r="QGH49" s="419"/>
      <c r="QGI49" s="419"/>
      <c r="QGJ49" s="419"/>
      <c r="QGK49" s="419"/>
      <c r="QGL49" s="419"/>
      <c r="QGM49" s="419"/>
      <c r="QGN49" s="419"/>
      <c r="QGO49" s="419"/>
      <c r="QGP49" s="419"/>
      <c r="QGQ49" s="419"/>
      <c r="QGR49" s="419"/>
      <c r="QGS49" s="419"/>
      <c r="QGT49" s="419"/>
      <c r="QGU49" s="419"/>
      <c r="QGV49" s="419"/>
      <c r="QGW49" s="419"/>
      <c r="QGX49" s="419"/>
      <c r="QGY49" s="419"/>
      <c r="QGZ49" s="419"/>
      <c r="QHA49" s="419"/>
      <c r="QHB49" s="419"/>
      <c r="QHC49" s="419"/>
      <c r="QHD49" s="419"/>
      <c r="QHE49" s="419"/>
      <c r="QHF49" s="419"/>
      <c r="QHG49" s="419"/>
      <c r="QHH49" s="419"/>
      <c r="QHI49" s="419"/>
      <c r="QHJ49" s="419"/>
      <c r="QHK49" s="419"/>
      <c r="QHL49" s="419"/>
      <c r="QHM49" s="419"/>
      <c r="QHN49" s="419"/>
      <c r="QHO49" s="419"/>
      <c r="QHP49" s="419"/>
      <c r="QHQ49" s="419"/>
      <c r="QHR49" s="419"/>
      <c r="QHS49" s="419"/>
      <c r="QHT49" s="419"/>
      <c r="QHU49" s="419"/>
      <c r="QHV49" s="419"/>
      <c r="QHW49" s="419"/>
      <c r="QHX49" s="419"/>
      <c r="QHY49" s="419"/>
      <c r="QHZ49" s="419"/>
      <c r="QIA49" s="419"/>
      <c r="QIB49" s="419"/>
      <c r="QIC49" s="419"/>
      <c r="QID49" s="419"/>
      <c r="QIE49" s="419"/>
      <c r="QIF49" s="419"/>
      <c r="QIG49" s="419"/>
      <c r="QIH49" s="419"/>
      <c r="QII49" s="419"/>
      <c r="QIJ49" s="419"/>
      <c r="QIK49" s="419"/>
      <c r="QIL49" s="419"/>
      <c r="QIM49" s="419"/>
      <c r="QIN49" s="419"/>
      <c r="QIO49" s="419"/>
      <c r="QIP49" s="419"/>
      <c r="QIQ49" s="419"/>
      <c r="QIR49" s="419"/>
      <c r="QIS49" s="419"/>
      <c r="QIT49" s="419"/>
      <c r="QIU49" s="419"/>
      <c r="QIV49" s="419"/>
      <c r="QIW49" s="419"/>
      <c r="QIX49" s="419"/>
      <c r="QIY49" s="419"/>
      <c r="QIZ49" s="419"/>
      <c r="QJA49" s="419"/>
      <c r="QJB49" s="419"/>
      <c r="QJC49" s="419"/>
      <c r="QJD49" s="419"/>
      <c r="QJE49" s="419"/>
      <c r="QJF49" s="419"/>
      <c r="QJG49" s="419"/>
      <c r="QJH49" s="419"/>
      <c r="QJI49" s="419"/>
      <c r="QJJ49" s="419"/>
      <c r="QJK49" s="419"/>
      <c r="QJL49" s="419"/>
      <c r="QJM49" s="419"/>
      <c r="QJN49" s="419"/>
      <c r="QJO49" s="419"/>
      <c r="QJP49" s="419"/>
      <c r="QJQ49" s="419"/>
      <c r="QJR49" s="419"/>
      <c r="QJS49" s="419"/>
      <c r="QJT49" s="419"/>
      <c r="QJU49" s="419"/>
      <c r="QJV49" s="419"/>
      <c r="QJW49" s="419"/>
      <c r="QJX49" s="419"/>
      <c r="QJY49" s="419"/>
      <c r="QJZ49" s="419"/>
      <c r="QKA49" s="419"/>
      <c r="QKB49" s="419"/>
      <c r="QKC49" s="419"/>
      <c r="QKD49" s="419"/>
      <c r="QKE49" s="419"/>
      <c r="QKF49" s="419"/>
      <c r="QKG49" s="419"/>
      <c r="QKH49" s="419"/>
      <c r="QKI49" s="419"/>
      <c r="QKJ49" s="419"/>
      <c r="QKK49" s="419"/>
      <c r="QKL49" s="419"/>
      <c r="QKM49" s="419"/>
      <c r="QKN49" s="419"/>
      <c r="QKO49" s="419"/>
      <c r="QKP49" s="419"/>
      <c r="QKQ49" s="419"/>
      <c r="QKR49" s="419"/>
      <c r="QKS49" s="419"/>
      <c r="QKT49" s="419"/>
      <c r="QKU49" s="419"/>
      <c r="QKV49" s="419"/>
      <c r="QKW49" s="419"/>
      <c r="QKX49" s="419"/>
      <c r="QKY49" s="419"/>
      <c r="QKZ49" s="419"/>
      <c r="QLA49" s="419"/>
      <c r="QLB49" s="419"/>
      <c r="QLC49" s="419"/>
      <c r="QLD49" s="419"/>
      <c r="QLE49" s="419"/>
      <c r="QLF49" s="419"/>
      <c r="QLG49" s="419"/>
      <c r="QLH49" s="419"/>
      <c r="QLI49" s="419"/>
      <c r="QLJ49" s="419"/>
      <c r="QLK49" s="419"/>
      <c r="QLL49" s="419"/>
      <c r="QLM49" s="419"/>
      <c r="QLN49" s="419"/>
      <c r="QLO49" s="419"/>
      <c r="QLP49" s="419"/>
      <c r="QLQ49" s="419"/>
      <c r="QLR49" s="419"/>
      <c r="QLS49" s="419"/>
      <c r="QLT49" s="419"/>
      <c r="QLU49" s="419"/>
      <c r="QLV49" s="419"/>
      <c r="QLW49" s="419"/>
      <c r="QLX49" s="419"/>
      <c r="QLY49" s="419"/>
      <c r="QLZ49" s="419"/>
      <c r="QMA49" s="419"/>
      <c r="QMB49" s="419"/>
      <c r="QMC49" s="419"/>
      <c r="QMD49" s="419"/>
      <c r="QME49" s="419"/>
      <c r="QMF49" s="419"/>
      <c r="QMG49" s="419"/>
      <c r="QMH49" s="419"/>
      <c r="QMI49" s="419"/>
      <c r="QMJ49" s="419"/>
      <c r="QMK49" s="419"/>
      <c r="QML49" s="419"/>
      <c r="QMM49" s="419"/>
      <c r="QMN49" s="419"/>
      <c r="QMO49" s="419"/>
      <c r="QMP49" s="419"/>
      <c r="QMQ49" s="419"/>
      <c r="QMR49" s="419"/>
      <c r="QMS49" s="419"/>
      <c r="QMT49" s="419"/>
      <c r="QMU49" s="419"/>
      <c r="QMV49" s="419"/>
      <c r="QMW49" s="419"/>
      <c r="QMX49" s="419"/>
      <c r="QMY49" s="419"/>
      <c r="QMZ49" s="419"/>
      <c r="QNA49" s="419"/>
      <c r="QNB49" s="419"/>
      <c r="QNC49" s="419"/>
      <c r="QND49" s="419"/>
      <c r="QNE49" s="419"/>
      <c r="QNF49" s="419"/>
      <c r="QNG49" s="419"/>
      <c r="QNH49" s="419"/>
      <c r="QNI49" s="419"/>
      <c r="QNJ49" s="419"/>
      <c r="QNK49" s="419"/>
      <c r="QNL49" s="419"/>
      <c r="QNM49" s="419"/>
      <c r="QNN49" s="419"/>
      <c r="QNO49" s="419"/>
      <c r="QNP49" s="419"/>
      <c r="QNQ49" s="419"/>
      <c r="QNR49" s="419"/>
      <c r="QNS49" s="419"/>
      <c r="QNT49" s="419"/>
      <c r="QNU49" s="419"/>
      <c r="QNV49" s="419"/>
      <c r="QNW49" s="419"/>
      <c r="QNX49" s="419"/>
      <c r="QNY49" s="419"/>
      <c r="QNZ49" s="419"/>
      <c r="QOA49" s="419"/>
      <c r="QOB49" s="419"/>
      <c r="QOC49" s="419"/>
      <c r="QOD49" s="419"/>
      <c r="QOE49" s="419"/>
      <c r="QOF49" s="419"/>
      <c r="QOG49" s="419"/>
      <c r="QOH49" s="419"/>
      <c r="QOI49" s="419"/>
      <c r="QOJ49" s="419"/>
      <c r="QOK49" s="419"/>
      <c r="QOL49" s="419"/>
      <c r="QOM49" s="419"/>
      <c r="QON49" s="419"/>
      <c r="QOO49" s="419"/>
      <c r="QOP49" s="419"/>
      <c r="QOQ49" s="419"/>
      <c r="QOR49" s="419"/>
      <c r="QOS49" s="419"/>
      <c r="QOT49" s="419"/>
      <c r="QOU49" s="419"/>
      <c r="QOV49" s="419"/>
      <c r="QOW49" s="419"/>
      <c r="QOX49" s="419"/>
      <c r="QOY49" s="419"/>
      <c r="QOZ49" s="419"/>
      <c r="QPA49" s="419"/>
      <c r="QPB49" s="419"/>
      <c r="QPC49" s="419"/>
      <c r="QPD49" s="419"/>
      <c r="QPE49" s="419"/>
      <c r="QPF49" s="419"/>
      <c r="QPG49" s="419"/>
      <c r="QPH49" s="419"/>
      <c r="QPI49" s="419"/>
      <c r="QPJ49" s="419"/>
      <c r="QPK49" s="419"/>
      <c r="QPL49" s="419"/>
      <c r="QPM49" s="419"/>
      <c r="QPN49" s="419"/>
      <c r="QPO49" s="419"/>
      <c r="QPP49" s="419"/>
      <c r="QPQ49" s="419"/>
      <c r="QPR49" s="419"/>
      <c r="QPS49" s="419"/>
      <c r="QPT49" s="419"/>
      <c r="QPU49" s="419"/>
      <c r="QPV49" s="419"/>
      <c r="QPW49" s="419"/>
      <c r="QPX49" s="419"/>
      <c r="QPY49" s="419"/>
      <c r="QPZ49" s="419"/>
      <c r="QQA49" s="419"/>
      <c r="QQB49" s="419"/>
      <c r="QQC49" s="419"/>
      <c r="QQD49" s="419"/>
      <c r="QQE49" s="419"/>
      <c r="QQF49" s="419"/>
      <c r="QQG49" s="419"/>
      <c r="QQH49" s="419"/>
      <c r="QQI49" s="419"/>
      <c r="QQJ49" s="419"/>
      <c r="QQK49" s="419"/>
      <c r="QQL49" s="419"/>
      <c r="QQM49" s="419"/>
      <c r="QQN49" s="419"/>
      <c r="QQO49" s="419"/>
      <c r="QQP49" s="419"/>
      <c r="QQQ49" s="419"/>
      <c r="QQR49" s="419"/>
      <c r="QQS49" s="419"/>
      <c r="QQT49" s="419"/>
      <c r="QQU49" s="419"/>
      <c r="QQV49" s="419"/>
      <c r="QQW49" s="419"/>
      <c r="QQX49" s="419"/>
      <c r="QQY49" s="419"/>
      <c r="QQZ49" s="419"/>
      <c r="QRA49" s="419"/>
      <c r="QRB49" s="419"/>
      <c r="QRC49" s="419"/>
      <c r="QRD49" s="419"/>
      <c r="QRE49" s="419"/>
      <c r="QRF49" s="419"/>
      <c r="QRG49" s="419"/>
      <c r="QRH49" s="419"/>
      <c r="QRI49" s="419"/>
      <c r="QRJ49" s="419"/>
      <c r="QRK49" s="419"/>
      <c r="QRL49" s="419"/>
      <c r="QRM49" s="419"/>
      <c r="QRN49" s="419"/>
      <c r="QRO49" s="419"/>
      <c r="QRP49" s="419"/>
      <c r="QRQ49" s="419"/>
      <c r="QRR49" s="419"/>
      <c r="QRS49" s="419"/>
      <c r="QRT49" s="419"/>
      <c r="QRU49" s="419"/>
      <c r="QRV49" s="419"/>
      <c r="QRW49" s="419"/>
      <c r="QRX49" s="419"/>
      <c r="QRY49" s="419"/>
      <c r="QRZ49" s="419"/>
      <c r="QSA49" s="419"/>
      <c r="QSB49" s="419"/>
      <c r="QSC49" s="419"/>
      <c r="QSD49" s="419"/>
      <c r="QSE49" s="419"/>
      <c r="QSF49" s="419"/>
      <c r="QSG49" s="419"/>
      <c r="QSH49" s="419"/>
      <c r="QSI49" s="419"/>
      <c r="QSJ49" s="419"/>
      <c r="QSK49" s="419"/>
      <c r="QSL49" s="419"/>
      <c r="QSM49" s="419"/>
      <c r="QSN49" s="419"/>
      <c r="QSO49" s="419"/>
      <c r="QSP49" s="419"/>
      <c r="QSQ49" s="419"/>
      <c r="QSR49" s="419"/>
      <c r="QSS49" s="419"/>
      <c r="QST49" s="419"/>
      <c r="QSU49" s="419"/>
      <c r="QSV49" s="419"/>
      <c r="QSW49" s="419"/>
      <c r="QSX49" s="419"/>
      <c r="QSY49" s="419"/>
      <c r="QSZ49" s="419"/>
      <c r="QTA49" s="419"/>
      <c r="QTB49" s="419"/>
      <c r="QTC49" s="419"/>
      <c r="QTD49" s="419"/>
      <c r="QTE49" s="419"/>
      <c r="QTF49" s="419"/>
      <c r="QTG49" s="419"/>
      <c r="QTH49" s="419"/>
      <c r="QTI49" s="419"/>
      <c r="QTJ49" s="419"/>
      <c r="QTK49" s="419"/>
      <c r="QTL49" s="419"/>
      <c r="QTM49" s="419"/>
      <c r="QTN49" s="419"/>
      <c r="QTO49" s="419"/>
      <c r="QTP49" s="419"/>
      <c r="QTQ49" s="419"/>
      <c r="QTR49" s="419"/>
      <c r="QTS49" s="419"/>
      <c r="QTT49" s="419"/>
      <c r="QTU49" s="419"/>
      <c r="QTV49" s="419"/>
      <c r="QTW49" s="419"/>
      <c r="QTX49" s="419"/>
      <c r="QTY49" s="419"/>
      <c r="QTZ49" s="419"/>
      <c r="QUA49" s="419"/>
      <c r="QUB49" s="419"/>
      <c r="QUC49" s="419"/>
      <c r="QUD49" s="419"/>
      <c r="QUE49" s="419"/>
      <c r="QUF49" s="419"/>
      <c r="QUG49" s="419"/>
      <c r="QUH49" s="419"/>
      <c r="QUI49" s="419"/>
      <c r="QUJ49" s="419"/>
      <c r="QUK49" s="419"/>
      <c r="QUL49" s="419"/>
      <c r="QUM49" s="419"/>
      <c r="QUN49" s="419"/>
      <c r="QUO49" s="419"/>
      <c r="QUP49" s="419"/>
      <c r="QUQ49" s="419"/>
      <c r="QUR49" s="419"/>
      <c r="QUS49" s="419"/>
      <c r="QUT49" s="419"/>
      <c r="QUU49" s="419"/>
      <c r="QUV49" s="419"/>
      <c r="QUW49" s="419"/>
      <c r="QUX49" s="419"/>
      <c r="QUY49" s="419"/>
      <c r="QUZ49" s="419"/>
      <c r="QVA49" s="419"/>
      <c r="QVB49" s="419"/>
      <c r="QVC49" s="419"/>
      <c r="QVD49" s="419"/>
      <c r="QVE49" s="419"/>
      <c r="QVF49" s="419"/>
      <c r="QVG49" s="419"/>
      <c r="QVH49" s="419"/>
      <c r="QVI49" s="419"/>
      <c r="QVJ49" s="419"/>
      <c r="QVK49" s="419"/>
      <c r="QVL49" s="419"/>
      <c r="QVM49" s="419"/>
      <c r="QVN49" s="419"/>
      <c r="QVO49" s="419"/>
      <c r="QVP49" s="419"/>
      <c r="QVQ49" s="419"/>
      <c r="QVR49" s="419"/>
      <c r="QVS49" s="419"/>
      <c r="QVT49" s="419"/>
      <c r="QVU49" s="419"/>
      <c r="QVV49" s="419"/>
      <c r="QVW49" s="419"/>
      <c r="QVX49" s="419"/>
      <c r="QVY49" s="419"/>
      <c r="QVZ49" s="419"/>
      <c r="QWA49" s="419"/>
      <c r="QWB49" s="419"/>
      <c r="QWC49" s="419"/>
      <c r="QWD49" s="419"/>
      <c r="QWE49" s="419"/>
      <c r="QWF49" s="419"/>
      <c r="QWG49" s="419"/>
      <c r="QWH49" s="419"/>
      <c r="QWI49" s="419"/>
      <c r="QWJ49" s="419"/>
      <c r="QWK49" s="419"/>
      <c r="QWL49" s="419"/>
      <c r="QWM49" s="419"/>
      <c r="QWN49" s="419"/>
      <c r="QWO49" s="419"/>
      <c r="QWP49" s="419"/>
      <c r="QWQ49" s="419"/>
      <c r="QWR49" s="419"/>
      <c r="QWS49" s="419"/>
      <c r="QWT49" s="419"/>
      <c r="QWU49" s="419"/>
      <c r="QWV49" s="419"/>
      <c r="QWW49" s="419"/>
      <c r="QWX49" s="419"/>
      <c r="QWY49" s="419"/>
      <c r="QWZ49" s="419"/>
      <c r="QXA49" s="419"/>
      <c r="QXB49" s="419"/>
      <c r="QXC49" s="419"/>
      <c r="QXD49" s="419"/>
      <c r="QXE49" s="419"/>
      <c r="QXF49" s="419"/>
      <c r="QXG49" s="419"/>
      <c r="QXH49" s="419"/>
      <c r="QXI49" s="419"/>
      <c r="QXJ49" s="419"/>
      <c r="QXK49" s="419"/>
      <c r="QXL49" s="419"/>
      <c r="QXM49" s="419"/>
      <c r="QXN49" s="419"/>
      <c r="QXO49" s="419"/>
      <c r="QXP49" s="419"/>
      <c r="QXQ49" s="419"/>
      <c r="QXR49" s="419"/>
      <c r="QXS49" s="419"/>
      <c r="QXT49" s="419"/>
      <c r="QXU49" s="419"/>
      <c r="QXV49" s="419"/>
      <c r="QXW49" s="419"/>
      <c r="QXX49" s="419"/>
      <c r="QXY49" s="419"/>
      <c r="QXZ49" s="419"/>
      <c r="QYA49" s="419"/>
      <c r="QYB49" s="419"/>
      <c r="QYC49" s="419"/>
      <c r="QYD49" s="419"/>
      <c r="QYE49" s="419"/>
      <c r="QYF49" s="419"/>
      <c r="QYG49" s="419"/>
      <c r="QYH49" s="419"/>
      <c r="QYI49" s="419"/>
      <c r="QYJ49" s="419"/>
      <c r="QYK49" s="419"/>
      <c r="QYL49" s="419"/>
      <c r="QYM49" s="419"/>
      <c r="QYN49" s="419"/>
      <c r="QYO49" s="419"/>
      <c r="QYP49" s="419"/>
      <c r="QYQ49" s="419"/>
      <c r="QYR49" s="419"/>
      <c r="QYS49" s="419"/>
      <c r="QYT49" s="419"/>
      <c r="QYU49" s="419"/>
      <c r="QYV49" s="419"/>
      <c r="QYW49" s="419"/>
      <c r="QYX49" s="419"/>
      <c r="QYY49" s="419"/>
      <c r="QYZ49" s="419"/>
      <c r="QZA49" s="419"/>
      <c r="QZB49" s="419"/>
      <c r="QZC49" s="419"/>
      <c r="QZD49" s="419"/>
      <c r="QZE49" s="419"/>
      <c r="QZF49" s="419"/>
      <c r="QZG49" s="419"/>
      <c r="QZH49" s="419"/>
      <c r="QZI49" s="419"/>
      <c r="QZJ49" s="419"/>
      <c r="QZK49" s="419"/>
      <c r="QZL49" s="419"/>
      <c r="QZM49" s="419"/>
      <c r="QZN49" s="419"/>
      <c r="QZO49" s="419"/>
      <c r="QZP49" s="419"/>
      <c r="QZQ49" s="419"/>
      <c r="QZR49" s="419"/>
      <c r="QZS49" s="419"/>
      <c r="QZT49" s="419"/>
      <c r="QZU49" s="419"/>
      <c r="QZV49" s="419"/>
      <c r="QZW49" s="419"/>
      <c r="QZX49" s="419"/>
      <c r="QZY49" s="419"/>
      <c r="QZZ49" s="419"/>
      <c r="RAA49" s="419"/>
      <c r="RAB49" s="419"/>
      <c r="RAC49" s="419"/>
      <c r="RAD49" s="419"/>
      <c r="RAE49" s="419"/>
      <c r="RAF49" s="419"/>
      <c r="RAG49" s="419"/>
      <c r="RAH49" s="419"/>
      <c r="RAI49" s="419"/>
      <c r="RAJ49" s="419"/>
      <c r="RAK49" s="419"/>
      <c r="RAL49" s="419"/>
      <c r="RAM49" s="419"/>
      <c r="RAN49" s="419"/>
      <c r="RAO49" s="419"/>
      <c r="RAP49" s="419"/>
      <c r="RAQ49" s="419"/>
      <c r="RAR49" s="419"/>
      <c r="RAS49" s="419"/>
      <c r="RAT49" s="419"/>
      <c r="RAU49" s="419"/>
      <c r="RAV49" s="419"/>
      <c r="RAW49" s="419"/>
      <c r="RAX49" s="419"/>
      <c r="RAY49" s="419"/>
      <c r="RAZ49" s="419"/>
      <c r="RBA49" s="419"/>
      <c r="RBB49" s="419"/>
      <c r="RBC49" s="419"/>
      <c r="RBD49" s="419"/>
      <c r="RBE49" s="419"/>
      <c r="RBF49" s="419"/>
      <c r="RBG49" s="419"/>
      <c r="RBH49" s="419"/>
      <c r="RBI49" s="419"/>
      <c r="RBJ49" s="419"/>
      <c r="RBK49" s="419"/>
      <c r="RBL49" s="419"/>
      <c r="RBM49" s="419"/>
      <c r="RBN49" s="419"/>
      <c r="RBO49" s="419"/>
      <c r="RBP49" s="419"/>
      <c r="RBQ49" s="419"/>
      <c r="RBR49" s="419"/>
      <c r="RBS49" s="419"/>
      <c r="RBT49" s="419"/>
      <c r="RBU49" s="419"/>
      <c r="RBV49" s="419"/>
      <c r="RBW49" s="419"/>
      <c r="RBX49" s="419"/>
      <c r="RBY49" s="419"/>
      <c r="RBZ49" s="419"/>
      <c r="RCA49" s="419"/>
      <c r="RCB49" s="419"/>
      <c r="RCC49" s="419"/>
      <c r="RCD49" s="419"/>
      <c r="RCE49" s="419"/>
      <c r="RCF49" s="419"/>
      <c r="RCG49" s="419"/>
      <c r="RCH49" s="419"/>
      <c r="RCI49" s="419"/>
      <c r="RCJ49" s="419"/>
      <c r="RCK49" s="419"/>
      <c r="RCL49" s="419"/>
      <c r="RCM49" s="419"/>
      <c r="RCN49" s="419"/>
      <c r="RCO49" s="419"/>
      <c r="RCP49" s="419"/>
      <c r="RCQ49" s="419"/>
      <c r="RCR49" s="419"/>
      <c r="RCS49" s="419"/>
      <c r="RCT49" s="419"/>
      <c r="RCU49" s="419"/>
      <c r="RCV49" s="419"/>
      <c r="RCW49" s="419"/>
      <c r="RCX49" s="419"/>
      <c r="RCY49" s="419"/>
      <c r="RCZ49" s="419"/>
      <c r="RDA49" s="419"/>
      <c r="RDB49" s="419"/>
      <c r="RDC49" s="419"/>
      <c r="RDD49" s="419"/>
      <c r="RDE49" s="419"/>
      <c r="RDF49" s="419"/>
      <c r="RDG49" s="419"/>
      <c r="RDH49" s="419"/>
      <c r="RDI49" s="419"/>
      <c r="RDJ49" s="419"/>
      <c r="RDK49" s="419"/>
      <c r="RDL49" s="419"/>
      <c r="RDM49" s="419"/>
      <c r="RDN49" s="419"/>
      <c r="RDO49" s="419"/>
      <c r="RDP49" s="419"/>
      <c r="RDQ49" s="419"/>
      <c r="RDR49" s="419"/>
      <c r="RDS49" s="419"/>
      <c r="RDT49" s="419"/>
      <c r="RDU49" s="419"/>
      <c r="RDV49" s="419"/>
      <c r="RDW49" s="419"/>
      <c r="RDX49" s="419"/>
      <c r="RDY49" s="419"/>
      <c r="RDZ49" s="419"/>
      <c r="REA49" s="419"/>
      <c r="REB49" s="419"/>
      <c r="REC49" s="419"/>
      <c r="RED49" s="419"/>
      <c r="REE49" s="419"/>
      <c r="REF49" s="419"/>
      <c r="REG49" s="419"/>
      <c r="REH49" s="419"/>
      <c r="REI49" s="419"/>
      <c r="REJ49" s="419"/>
      <c r="REK49" s="419"/>
      <c r="REL49" s="419"/>
      <c r="REM49" s="419"/>
      <c r="REN49" s="419"/>
      <c r="REO49" s="419"/>
      <c r="REP49" s="419"/>
      <c r="REQ49" s="419"/>
      <c r="RER49" s="419"/>
      <c r="RES49" s="419"/>
      <c r="RET49" s="419"/>
      <c r="REU49" s="419"/>
      <c r="REV49" s="419"/>
      <c r="REW49" s="419"/>
      <c r="REX49" s="419"/>
      <c r="REY49" s="419"/>
      <c r="REZ49" s="419"/>
      <c r="RFA49" s="419"/>
      <c r="RFB49" s="419"/>
      <c r="RFC49" s="419"/>
      <c r="RFD49" s="419"/>
      <c r="RFE49" s="419"/>
      <c r="RFF49" s="419"/>
      <c r="RFG49" s="419"/>
      <c r="RFH49" s="419"/>
      <c r="RFI49" s="419"/>
      <c r="RFJ49" s="419"/>
      <c r="RFK49" s="419"/>
      <c r="RFL49" s="419"/>
      <c r="RFM49" s="419"/>
      <c r="RFN49" s="419"/>
      <c r="RFO49" s="419"/>
      <c r="RFP49" s="419"/>
      <c r="RFQ49" s="419"/>
      <c r="RFR49" s="419"/>
      <c r="RFS49" s="419"/>
      <c r="RFT49" s="419"/>
      <c r="RFU49" s="419"/>
      <c r="RFV49" s="419"/>
      <c r="RFW49" s="419"/>
      <c r="RFX49" s="419"/>
      <c r="RFY49" s="419"/>
      <c r="RFZ49" s="419"/>
      <c r="RGA49" s="419"/>
      <c r="RGB49" s="419"/>
      <c r="RGC49" s="419"/>
      <c r="RGD49" s="419"/>
      <c r="RGE49" s="419"/>
      <c r="RGF49" s="419"/>
      <c r="RGG49" s="419"/>
      <c r="RGH49" s="419"/>
      <c r="RGI49" s="419"/>
      <c r="RGJ49" s="419"/>
      <c r="RGK49" s="419"/>
      <c r="RGL49" s="419"/>
      <c r="RGM49" s="419"/>
      <c r="RGN49" s="419"/>
      <c r="RGO49" s="419"/>
      <c r="RGP49" s="419"/>
      <c r="RGQ49" s="419"/>
      <c r="RGR49" s="419"/>
      <c r="RGS49" s="419"/>
      <c r="RGT49" s="419"/>
      <c r="RGU49" s="419"/>
      <c r="RGV49" s="419"/>
      <c r="RGW49" s="419"/>
      <c r="RGX49" s="419"/>
      <c r="RGY49" s="419"/>
      <c r="RGZ49" s="419"/>
      <c r="RHA49" s="419"/>
      <c r="RHB49" s="419"/>
      <c r="RHC49" s="419"/>
      <c r="RHD49" s="419"/>
      <c r="RHE49" s="419"/>
      <c r="RHF49" s="419"/>
      <c r="RHG49" s="419"/>
      <c r="RHH49" s="419"/>
      <c r="RHI49" s="419"/>
      <c r="RHJ49" s="419"/>
      <c r="RHK49" s="419"/>
      <c r="RHL49" s="419"/>
      <c r="RHM49" s="419"/>
      <c r="RHN49" s="419"/>
      <c r="RHO49" s="419"/>
      <c r="RHP49" s="419"/>
      <c r="RHQ49" s="419"/>
      <c r="RHR49" s="419"/>
      <c r="RHS49" s="419"/>
      <c r="RHT49" s="419"/>
      <c r="RHU49" s="419"/>
      <c r="RHV49" s="419"/>
      <c r="RHW49" s="419"/>
      <c r="RHX49" s="419"/>
      <c r="RHY49" s="419"/>
      <c r="RHZ49" s="419"/>
      <c r="RIA49" s="419"/>
      <c r="RIB49" s="419"/>
      <c r="RIC49" s="419"/>
      <c r="RID49" s="419"/>
      <c r="RIE49" s="419"/>
      <c r="RIF49" s="419"/>
      <c r="RIG49" s="419"/>
      <c r="RIH49" s="419"/>
      <c r="RII49" s="419"/>
      <c r="RIJ49" s="419"/>
      <c r="RIK49" s="419"/>
      <c r="RIL49" s="419"/>
      <c r="RIM49" s="419"/>
      <c r="RIN49" s="419"/>
      <c r="RIO49" s="419"/>
      <c r="RIP49" s="419"/>
      <c r="RIQ49" s="419"/>
      <c r="RIR49" s="419"/>
      <c r="RIS49" s="419"/>
      <c r="RIT49" s="419"/>
      <c r="RIU49" s="419"/>
      <c r="RIV49" s="419"/>
      <c r="RIW49" s="419"/>
      <c r="RIX49" s="419"/>
      <c r="RIY49" s="419"/>
      <c r="RIZ49" s="419"/>
      <c r="RJA49" s="419"/>
      <c r="RJB49" s="419"/>
      <c r="RJC49" s="419"/>
      <c r="RJD49" s="419"/>
      <c r="RJE49" s="419"/>
      <c r="RJF49" s="419"/>
      <c r="RJG49" s="419"/>
      <c r="RJH49" s="419"/>
      <c r="RJI49" s="419"/>
      <c r="RJJ49" s="419"/>
      <c r="RJK49" s="419"/>
      <c r="RJL49" s="419"/>
      <c r="RJM49" s="419"/>
      <c r="RJN49" s="419"/>
      <c r="RJO49" s="419"/>
      <c r="RJP49" s="419"/>
      <c r="RJQ49" s="419"/>
      <c r="RJR49" s="419"/>
      <c r="RJS49" s="419"/>
      <c r="RJT49" s="419"/>
      <c r="RJU49" s="419"/>
      <c r="RJV49" s="419"/>
      <c r="RJW49" s="419"/>
      <c r="RJX49" s="419"/>
      <c r="RJY49" s="419"/>
      <c r="RJZ49" s="419"/>
      <c r="RKA49" s="419"/>
      <c r="RKB49" s="419"/>
      <c r="RKC49" s="419"/>
      <c r="RKD49" s="419"/>
      <c r="RKE49" s="419"/>
      <c r="RKF49" s="419"/>
      <c r="RKG49" s="419"/>
      <c r="RKH49" s="419"/>
      <c r="RKI49" s="419"/>
      <c r="RKJ49" s="419"/>
      <c r="RKK49" s="419"/>
      <c r="RKL49" s="419"/>
      <c r="RKM49" s="419"/>
      <c r="RKN49" s="419"/>
      <c r="RKO49" s="419"/>
      <c r="RKP49" s="419"/>
      <c r="RKQ49" s="419"/>
      <c r="RKR49" s="419"/>
      <c r="RKS49" s="419"/>
      <c r="RKT49" s="419"/>
      <c r="RKU49" s="419"/>
      <c r="RKV49" s="419"/>
      <c r="RKW49" s="419"/>
      <c r="RKX49" s="419"/>
      <c r="RKY49" s="419"/>
      <c r="RKZ49" s="419"/>
      <c r="RLA49" s="419"/>
      <c r="RLB49" s="419"/>
      <c r="RLC49" s="419"/>
      <c r="RLD49" s="419"/>
      <c r="RLE49" s="419"/>
      <c r="RLF49" s="419"/>
      <c r="RLG49" s="419"/>
      <c r="RLH49" s="419"/>
      <c r="RLI49" s="419"/>
      <c r="RLJ49" s="419"/>
      <c r="RLK49" s="419"/>
      <c r="RLL49" s="419"/>
      <c r="RLM49" s="419"/>
      <c r="RLN49" s="419"/>
      <c r="RLO49" s="419"/>
      <c r="RLP49" s="419"/>
      <c r="RLQ49" s="419"/>
      <c r="RLR49" s="419"/>
      <c r="RLS49" s="419"/>
      <c r="RLT49" s="419"/>
      <c r="RLU49" s="419"/>
      <c r="RLV49" s="419"/>
      <c r="RLW49" s="419"/>
      <c r="RLX49" s="419"/>
      <c r="RLY49" s="419"/>
      <c r="RLZ49" s="419"/>
      <c r="RMA49" s="419"/>
      <c r="RMB49" s="419"/>
      <c r="RMC49" s="419"/>
      <c r="RMD49" s="419"/>
      <c r="RME49" s="419"/>
      <c r="RMF49" s="419"/>
      <c r="RMG49" s="419"/>
      <c r="RMH49" s="419"/>
      <c r="RMI49" s="419"/>
      <c r="RMJ49" s="419"/>
      <c r="RMK49" s="419"/>
      <c r="RML49" s="419"/>
      <c r="RMM49" s="419"/>
      <c r="RMN49" s="419"/>
      <c r="RMO49" s="419"/>
      <c r="RMP49" s="419"/>
      <c r="RMQ49" s="419"/>
      <c r="RMR49" s="419"/>
      <c r="RMS49" s="419"/>
      <c r="RMT49" s="419"/>
      <c r="RMU49" s="419"/>
      <c r="RMV49" s="419"/>
      <c r="RMW49" s="419"/>
      <c r="RMX49" s="419"/>
      <c r="RMY49" s="419"/>
      <c r="RMZ49" s="419"/>
      <c r="RNA49" s="419"/>
      <c r="RNB49" s="419"/>
      <c r="RNC49" s="419"/>
      <c r="RND49" s="419"/>
      <c r="RNE49" s="419"/>
      <c r="RNF49" s="419"/>
      <c r="RNG49" s="419"/>
      <c r="RNH49" s="419"/>
      <c r="RNI49" s="419"/>
      <c r="RNJ49" s="419"/>
      <c r="RNK49" s="419"/>
      <c r="RNL49" s="419"/>
      <c r="RNM49" s="419"/>
      <c r="RNN49" s="419"/>
      <c r="RNO49" s="419"/>
      <c r="RNP49" s="419"/>
      <c r="RNQ49" s="419"/>
      <c r="RNR49" s="419"/>
      <c r="RNS49" s="419"/>
      <c r="RNT49" s="419"/>
      <c r="RNU49" s="419"/>
      <c r="RNV49" s="419"/>
      <c r="RNW49" s="419"/>
      <c r="RNX49" s="419"/>
      <c r="RNY49" s="419"/>
      <c r="RNZ49" s="419"/>
      <c r="ROA49" s="419"/>
      <c r="ROB49" s="419"/>
      <c r="ROC49" s="419"/>
      <c r="ROD49" s="419"/>
      <c r="ROE49" s="419"/>
      <c r="ROF49" s="419"/>
      <c r="ROG49" s="419"/>
      <c r="ROH49" s="419"/>
      <c r="ROI49" s="419"/>
      <c r="ROJ49" s="419"/>
      <c r="ROK49" s="419"/>
      <c r="ROL49" s="419"/>
      <c r="ROM49" s="419"/>
      <c r="RON49" s="419"/>
      <c r="ROO49" s="419"/>
      <c r="ROP49" s="419"/>
      <c r="ROQ49" s="419"/>
      <c r="ROR49" s="419"/>
      <c r="ROS49" s="419"/>
      <c r="ROT49" s="419"/>
      <c r="ROU49" s="419"/>
      <c r="ROV49" s="419"/>
      <c r="ROW49" s="419"/>
      <c r="ROX49" s="419"/>
      <c r="ROY49" s="419"/>
      <c r="ROZ49" s="419"/>
      <c r="RPA49" s="419"/>
      <c r="RPB49" s="419"/>
      <c r="RPC49" s="419"/>
      <c r="RPD49" s="419"/>
      <c r="RPE49" s="419"/>
      <c r="RPF49" s="419"/>
      <c r="RPG49" s="419"/>
      <c r="RPH49" s="419"/>
      <c r="RPI49" s="419"/>
      <c r="RPJ49" s="419"/>
      <c r="RPK49" s="419"/>
      <c r="RPL49" s="419"/>
      <c r="RPM49" s="419"/>
      <c r="RPN49" s="419"/>
      <c r="RPO49" s="419"/>
      <c r="RPP49" s="419"/>
      <c r="RPQ49" s="419"/>
      <c r="RPR49" s="419"/>
      <c r="RPS49" s="419"/>
      <c r="RPT49" s="419"/>
      <c r="RPU49" s="419"/>
      <c r="RPV49" s="419"/>
      <c r="RPW49" s="419"/>
      <c r="RPX49" s="419"/>
      <c r="RPY49" s="419"/>
      <c r="RPZ49" s="419"/>
      <c r="RQA49" s="419"/>
      <c r="RQB49" s="419"/>
      <c r="RQC49" s="419"/>
      <c r="RQD49" s="419"/>
      <c r="RQE49" s="419"/>
      <c r="RQF49" s="419"/>
      <c r="RQG49" s="419"/>
      <c r="RQH49" s="419"/>
      <c r="RQI49" s="419"/>
      <c r="RQJ49" s="419"/>
      <c r="RQK49" s="419"/>
      <c r="RQL49" s="419"/>
      <c r="RQM49" s="419"/>
      <c r="RQN49" s="419"/>
      <c r="RQO49" s="419"/>
      <c r="RQP49" s="419"/>
      <c r="RQQ49" s="419"/>
      <c r="RQR49" s="419"/>
      <c r="RQS49" s="419"/>
      <c r="RQT49" s="419"/>
      <c r="RQU49" s="419"/>
      <c r="RQV49" s="419"/>
      <c r="RQW49" s="419"/>
      <c r="RQX49" s="419"/>
      <c r="RQY49" s="419"/>
      <c r="RQZ49" s="419"/>
      <c r="RRA49" s="419"/>
      <c r="RRB49" s="419"/>
      <c r="RRC49" s="419"/>
      <c r="RRD49" s="419"/>
      <c r="RRE49" s="419"/>
      <c r="RRF49" s="419"/>
      <c r="RRG49" s="419"/>
      <c r="RRH49" s="419"/>
      <c r="RRI49" s="419"/>
      <c r="RRJ49" s="419"/>
      <c r="RRK49" s="419"/>
      <c r="RRL49" s="419"/>
      <c r="RRM49" s="419"/>
      <c r="RRN49" s="419"/>
      <c r="RRO49" s="419"/>
      <c r="RRP49" s="419"/>
      <c r="RRQ49" s="419"/>
      <c r="RRR49" s="419"/>
      <c r="RRS49" s="419"/>
      <c r="RRT49" s="419"/>
      <c r="RRU49" s="419"/>
      <c r="RRV49" s="419"/>
      <c r="RRW49" s="419"/>
      <c r="RRX49" s="419"/>
      <c r="RRY49" s="419"/>
      <c r="RRZ49" s="419"/>
      <c r="RSA49" s="419"/>
      <c r="RSB49" s="419"/>
      <c r="RSC49" s="419"/>
      <c r="RSD49" s="419"/>
      <c r="RSE49" s="419"/>
      <c r="RSF49" s="419"/>
      <c r="RSG49" s="419"/>
      <c r="RSH49" s="419"/>
      <c r="RSI49" s="419"/>
      <c r="RSJ49" s="419"/>
      <c r="RSK49" s="419"/>
      <c r="RSL49" s="419"/>
      <c r="RSM49" s="419"/>
      <c r="RSN49" s="419"/>
      <c r="RSO49" s="419"/>
      <c r="RSP49" s="419"/>
      <c r="RSQ49" s="419"/>
      <c r="RSR49" s="419"/>
      <c r="RSS49" s="419"/>
      <c r="RST49" s="419"/>
      <c r="RSU49" s="419"/>
      <c r="RSV49" s="419"/>
      <c r="RSW49" s="419"/>
      <c r="RSX49" s="419"/>
      <c r="RSY49" s="419"/>
      <c r="RSZ49" s="419"/>
      <c r="RTA49" s="419"/>
      <c r="RTB49" s="419"/>
      <c r="RTC49" s="419"/>
      <c r="RTD49" s="419"/>
      <c r="RTE49" s="419"/>
      <c r="RTF49" s="419"/>
      <c r="RTG49" s="419"/>
      <c r="RTH49" s="419"/>
      <c r="RTI49" s="419"/>
      <c r="RTJ49" s="419"/>
      <c r="RTK49" s="419"/>
      <c r="RTL49" s="419"/>
      <c r="RTM49" s="419"/>
      <c r="RTN49" s="419"/>
      <c r="RTO49" s="419"/>
      <c r="RTP49" s="419"/>
      <c r="RTQ49" s="419"/>
      <c r="RTR49" s="419"/>
      <c r="RTS49" s="419"/>
      <c r="RTT49" s="419"/>
      <c r="RTU49" s="419"/>
      <c r="RTV49" s="419"/>
      <c r="RTW49" s="419"/>
      <c r="RTX49" s="419"/>
      <c r="RTY49" s="419"/>
      <c r="RTZ49" s="419"/>
      <c r="RUA49" s="419"/>
      <c r="RUB49" s="419"/>
      <c r="RUC49" s="419"/>
      <c r="RUD49" s="419"/>
      <c r="RUE49" s="419"/>
      <c r="RUF49" s="419"/>
      <c r="RUG49" s="419"/>
      <c r="RUH49" s="419"/>
      <c r="RUI49" s="419"/>
      <c r="RUJ49" s="419"/>
      <c r="RUK49" s="419"/>
      <c r="RUL49" s="419"/>
      <c r="RUM49" s="419"/>
      <c r="RUN49" s="419"/>
      <c r="RUO49" s="419"/>
      <c r="RUP49" s="419"/>
      <c r="RUQ49" s="419"/>
      <c r="RUR49" s="419"/>
      <c r="RUS49" s="419"/>
      <c r="RUT49" s="419"/>
      <c r="RUU49" s="419"/>
      <c r="RUV49" s="419"/>
      <c r="RUW49" s="419"/>
      <c r="RUX49" s="419"/>
      <c r="RUY49" s="419"/>
      <c r="RUZ49" s="419"/>
      <c r="RVA49" s="419"/>
      <c r="RVB49" s="419"/>
      <c r="RVC49" s="419"/>
      <c r="RVD49" s="419"/>
      <c r="RVE49" s="419"/>
      <c r="RVF49" s="419"/>
      <c r="RVG49" s="419"/>
      <c r="RVH49" s="419"/>
      <c r="RVI49" s="419"/>
      <c r="RVJ49" s="419"/>
      <c r="RVK49" s="419"/>
      <c r="RVL49" s="419"/>
      <c r="RVM49" s="419"/>
      <c r="RVN49" s="419"/>
      <c r="RVO49" s="419"/>
      <c r="RVP49" s="419"/>
      <c r="RVQ49" s="419"/>
      <c r="RVR49" s="419"/>
      <c r="RVS49" s="419"/>
      <c r="RVT49" s="419"/>
      <c r="RVU49" s="419"/>
      <c r="RVV49" s="419"/>
      <c r="RVW49" s="419"/>
      <c r="RVX49" s="419"/>
      <c r="RVY49" s="419"/>
      <c r="RVZ49" s="419"/>
      <c r="RWA49" s="419"/>
      <c r="RWB49" s="419"/>
      <c r="RWC49" s="419"/>
      <c r="RWD49" s="419"/>
      <c r="RWE49" s="419"/>
      <c r="RWF49" s="419"/>
      <c r="RWG49" s="419"/>
      <c r="RWH49" s="419"/>
      <c r="RWI49" s="419"/>
      <c r="RWJ49" s="419"/>
      <c r="RWK49" s="419"/>
      <c r="RWL49" s="419"/>
      <c r="RWM49" s="419"/>
      <c r="RWN49" s="419"/>
      <c r="RWO49" s="419"/>
      <c r="RWP49" s="419"/>
      <c r="RWQ49" s="419"/>
      <c r="RWR49" s="419"/>
      <c r="RWS49" s="419"/>
      <c r="RWT49" s="419"/>
      <c r="RWU49" s="419"/>
      <c r="RWV49" s="419"/>
      <c r="RWW49" s="419"/>
      <c r="RWX49" s="419"/>
      <c r="RWY49" s="419"/>
      <c r="RWZ49" s="419"/>
      <c r="RXA49" s="419"/>
      <c r="RXB49" s="419"/>
      <c r="RXC49" s="419"/>
      <c r="RXD49" s="419"/>
      <c r="RXE49" s="419"/>
      <c r="RXF49" s="419"/>
      <c r="RXG49" s="419"/>
      <c r="RXH49" s="419"/>
      <c r="RXI49" s="419"/>
      <c r="RXJ49" s="419"/>
      <c r="RXK49" s="419"/>
      <c r="RXL49" s="419"/>
      <c r="RXM49" s="419"/>
      <c r="RXN49" s="419"/>
      <c r="RXO49" s="419"/>
      <c r="RXP49" s="419"/>
      <c r="RXQ49" s="419"/>
      <c r="RXR49" s="419"/>
      <c r="RXS49" s="419"/>
      <c r="RXT49" s="419"/>
      <c r="RXU49" s="419"/>
      <c r="RXV49" s="419"/>
      <c r="RXW49" s="419"/>
      <c r="RXX49" s="419"/>
      <c r="RXY49" s="419"/>
      <c r="RXZ49" s="419"/>
      <c r="RYA49" s="419"/>
      <c r="RYB49" s="419"/>
      <c r="RYC49" s="419"/>
      <c r="RYD49" s="419"/>
      <c r="RYE49" s="419"/>
      <c r="RYF49" s="419"/>
      <c r="RYG49" s="419"/>
      <c r="RYH49" s="419"/>
      <c r="RYI49" s="419"/>
      <c r="RYJ49" s="419"/>
      <c r="RYK49" s="419"/>
      <c r="RYL49" s="419"/>
      <c r="RYM49" s="419"/>
      <c r="RYN49" s="419"/>
      <c r="RYO49" s="419"/>
      <c r="RYP49" s="419"/>
      <c r="RYQ49" s="419"/>
      <c r="RYR49" s="419"/>
      <c r="RYS49" s="419"/>
      <c r="RYT49" s="419"/>
      <c r="RYU49" s="419"/>
      <c r="RYV49" s="419"/>
      <c r="RYW49" s="419"/>
      <c r="RYX49" s="419"/>
      <c r="RYY49" s="419"/>
      <c r="RYZ49" s="419"/>
      <c r="RZA49" s="419"/>
      <c r="RZB49" s="419"/>
      <c r="RZC49" s="419"/>
      <c r="RZD49" s="419"/>
      <c r="RZE49" s="419"/>
      <c r="RZF49" s="419"/>
      <c r="RZG49" s="419"/>
      <c r="RZH49" s="419"/>
      <c r="RZI49" s="419"/>
      <c r="RZJ49" s="419"/>
      <c r="RZK49" s="419"/>
      <c r="RZL49" s="419"/>
      <c r="RZM49" s="419"/>
      <c r="RZN49" s="419"/>
      <c r="RZO49" s="419"/>
      <c r="RZP49" s="419"/>
      <c r="RZQ49" s="419"/>
      <c r="RZR49" s="419"/>
      <c r="RZS49" s="419"/>
      <c r="RZT49" s="419"/>
      <c r="RZU49" s="419"/>
      <c r="RZV49" s="419"/>
      <c r="RZW49" s="419"/>
      <c r="RZX49" s="419"/>
      <c r="RZY49" s="419"/>
      <c r="RZZ49" s="419"/>
      <c r="SAA49" s="419"/>
      <c r="SAB49" s="419"/>
      <c r="SAC49" s="419"/>
      <c r="SAD49" s="419"/>
      <c r="SAE49" s="419"/>
      <c r="SAF49" s="419"/>
      <c r="SAG49" s="419"/>
      <c r="SAH49" s="419"/>
      <c r="SAI49" s="419"/>
      <c r="SAJ49" s="419"/>
      <c r="SAK49" s="419"/>
      <c r="SAL49" s="419"/>
      <c r="SAM49" s="419"/>
      <c r="SAN49" s="419"/>
      <c r="SAO49" s="419"/>
      <c r="SAP49" s="419"/>
      <c r="SAQ49" s="419"/>
      <c r="SAR49" s="419"/>
      <c r="SAS49" s="419"/>
      <c r="SAT49" s="419"/>
      <c r="SAU49" s="419"/>
      <c r="SAV49" s="419"/>
      <c r="SAW49" s="419"/>
      <c r="SAX49" s="419"/>
      <c r="SAY49" s="419"/>
      <c r="SAZ49" s="419"/>
      <c r="SBA49" s="419"/>
      <c r="SBB49" s="419"/>
      <c r="SBC49" s="419"/>
      <c r="SBD49" s="419"/>
      <c r="SBE49" s="419"/>
      <c r="SBF49" s="419"/>
      <c r="SBG49" s="419"/>
      <c r="SBH49" s="419"/>
      <c r="SBI49" s="419"/>
      <c r="SBJ49" s="419"/>
      <c r="SBK49" s="419"/>
      <c r="SBL49" s="419"/>
      <c r="SBM49" s="419"/>
      <c r="SBN49" s="419"/>
      <c r="SBO49" s="419"/>
      <c r="SBP49" s="419"/>
      <c r="SBQ49" s="419"/>
      <c r="SBR49" s="419"/>
      <c r="SBS49" s="419"/>
      <c r="SBT49" s="419"/>
      <c r="SBU49" s="419"/>
      <c r="SBV49" s="419"/>
      <c r="SBW49" s="419"/>
      <c r="SBX49" s="419"/>
      <c r="SBY49" s="419"/>
      <c r="SBZ49" s="419"/>
      <c r="SCA49" s="419"/>
      <c r="SCB49" s="419"/>
      <c r="SCC49" s="419"/>
      <c r="SCD49" s="419"/>
      <c r="SCE49" s="419"/>
      <c r="SCF49" s="419"/>
      <c r="SCG49" s="419"/>
      <c r="SCH49" s="419"/>
      <c r="SCI49" s="419"/>
      <c r="SCJ49" s="419"/>
      <c r="SCK49" s="419"/>
      <c r="SCL49" s="419"/>
      <c r="SCM49" s="419"/>
      <c r="SCN49" s="419"/>
      <c r="SCO49" s="419"/>
      <c r="SCP49" s="419"/>
      <c r="SCQ49" s="419"/>
      <c r="SCR49" s="419"/>
      <c r="SCS49" s="419"/>
      <c r="SCT49" s="419"/>
      <c r="SCU49" s="419"/>
      <c r="SCV49" s="419"/>
      <c r="SCW49" s="419"/>
      <c r="SCX49" s="419"/>
      <c r="SCY49" s="419"/>
      <c r="SCZ49" s="419"/>
      <c r="SDA49" s="419"/>
      <c r="SDB49" s="419"/>
      <c r="SDC49" s="419"/>
      <c r="SDD49" s="419"/>
      <c r="SDE49" s="419"/>
      <c r="SDF49" s="419"/>
      <c r="SDG49" s="419"/>
      <c r="SDH49" s="419"/>
      <c r="SDI49" s="419"/>
      <c r="SDJ49" s="419"/>
      <c r="SDK49" s="419"/>
      <c r="SDL49" s="419"/>
      <c r="SDM49" s="419"/>
      <c r="SDN49" s="419"/>
      <c r="SDO49" s="419"/>
      <c r="SDP49" s="419"/>
      <c r="SDQ49" s="419"/>
      <c r="SDR49" s="419"/>
      <c r="SDS49" s="419"/>
      <c r="SDT49" s="419"/>
      <c r="SDU49" s="419"/>
      <c r="SDV49" s="419"/>
      <c r="SDW49" s="419"/>
      <c r="SDX49" s="419"/>
      <c r="SDY49" s="419"/>
      <c r="SDZ49" s="419"/>
      <c r="SEA49" s="419"/>
      <c r="SEB49" s="419"/>
      <c r="SEC49" s="419"/>
      <c r="SED49" s="419"/>
      <c r="SEE49" s="419"/>
      <c r="SEF49" s="419"/>
      <c r="SEG49" s="419"/>
      <c r="SEH49" s="419"/>
      <c r="SEI49" s="419"/>
      <c r="SEJ49" s="419"/>
      <c r="SEK49" s="419"/>
      <c r="SEL49" s="419"/>
      <c r="SEM49" s="419"/>
      <c r="SEN49" s="419"/>
      <c r="SEO49" s="419"/>
      <c r="SEP49" s="419"/>
      <c r="SEQ49" s="419"/>
      <c r="SER49" s="419"/>
      <c r="SES49" s="419"/>
      <c r="SET49" s="419"/>
      <c r="SEU49" s="419"/>
      <c r="SEV49" s="419"/>
      <c r="SEW49" s="419"/>
      <c r="SEX49" s="419"/>
      <c r="SEY49" s="419"/>
      <c r="SEZ49" s="419"/>
      <c r="SFA49" s="419"/>
      <c r="SFB49" s="419"/>
      <c r="SFC49" s="419"/>
      <c r="SFD49" s="419"/>
      <c r="SFE49" s="419"/>
      <c r="SFF49" s="419"/>
      <c r="SFG49" s="419"/>
      <c r="SFH49" s="419"/>
      <c r="SFI49" s="419"/>
      <c r="SFJ49" s="419"/>
      <c r="SFK49" s="419"/>
      <c r="SFL49" s="419"/>
      <c r="SFM49" s="419"/>
      <c r="SFN49" s="419"/>
      <c r="SFO49" s="419"/>
      <c r="SFP49" s="419"/>
      <c r="SFQ49" s="419"/>
      <c r="SFR49" s="419"/>
      <c r="SFS49" s="419"/>
      <c r="SFT49" s="419"/>
      <c r="SFU49" s="419"/>
      <c r="SFV49" s="419"/>
      <c r="SFW49" s="419"/>
      <c r="SFX49" s="419"/>
      <c r="SFY49" s="419"/>
      <c r="SFZ49" s="419"/>
      <c r="SGA49" s="419"/>
      <c r="SGB49" s="419"/>
      <c r="SGC49" s="419"/>
      <c r="SGD49" s="419"/>
      <c r="SGE49" s="419"/>
      <c r="SGF49" s="419"/>
      <c r="SGG49" s="419"/>
      <c r="SGH49" s="419"/>
      <c r="SGI49" s="419"/>
      <c r="SGJ49" s="419"/>
      <c r="SGK49" s="419"/>
      <c r="SGL49" s="419"/>
      <c r="SGM49" s="419"/>
      <c r="SGN49" s="419"/>
      <c r="SGO49" s="419"/>
      <c r="SGP49" s="419"/>
      <c r="SGQ49" s="419"/>
      <c r="SGR49" s="419"/>
      <c r="SGS49" s="419"/>
      <c r="SGT49" s="419"/>
      <c r="SGU49" s="419"/>
      <c r="SGV49" s="419"/>
      <c r="SGW49" s="419"/>
      <c r="SGX49" s="419"/>
      <c r="SGY49" s="419"/>
      <c r="SGZ49" s="419"/>
      <c r="SHA49" s="419"/>
      <c r="SHB49" s="419"/>
      <c r="SHC49" s="419"/>
      <c r="SHD49" s="419"/>
      <c r="SHE49" s="419"/>
      <c r="SHF49" s="419"/>
      <c r="SHG49" s="419"/>
      <c r="SHH49" s="419"/>
      <c r="SHI49" s="419"/>
      <c r="SHJ49" s="419"/>
      <c r="SHK49" s="419"/>
      <c r="SHL49" s="419"/>
      <c r="SHM49" s="419"/>
      <c r="SHN49" s="419"/>
      <c r="SHO49" s="419"/>
      <c r="SHP49" s="419"/>
      <c r="SHQ49" s="419"/>
      <c r="SHR49" s="419"/>
      <c r="SHS49" s="419"/>
      <c r="SHT49" s="419"/>
      <c r="SHU49" s="419"/>
      <c r="SHV49" s="419"/>
      <c r="SHW49" s="419"/>
      <c r="SHX49" s="419"/>
      <c r="SHY49" s="419"/>
      <c r="SHZ49" s="419"/>
      <c r="SIA49" s="419"/>
      <c r="SIB49" s="419"/>
      <c r="SIC49" s="419"/>
      <c r="SID49" s="419"/>
      <c r="SIE49" s="419"/>
      <c r="SIF49" s="419"/>
      <c r="SIG49" s="419"/>
      <c r="SIH49" s="419"/>
      <c r="SII49" s="419"/>
      <c r="SIJ49" s="419"/>
      <c r="SIK49" s="419"/>
      <c r="SIL49" s="419"/>
      <c r="SIM49" s="419"/>
      <c r="SIN49" s="419"/>
      <c r="SIO49" s="419"/>
      <c r="SIP49" s="419"/>
      <c r="SIQ49" s="419"/>
      <c r="SIR49" s="419"/>
      <c r="SIS49" s="419"/>
      <c r="SIT49" s="419"/>
      <c r="SIU49" s="419"/>
      <c r="SIV49" s="419"/>
      <c r="SIW49" s="419"/>
      <c r="SIX49" s="419"/>
      <c r="SIY49" s="419"/>
      <c r="SIZ49" s="419"/>
      <c r="SJA49" s="419"/>
      <c r="SJB49" s="419"/>
      <c r="SJC49" s="419"/>
      <c r="SJD49" s="419"/>
      <c r="SJE49" s="419"/>
      <c r="SJF49" s="419"/>
      <c r="SJG49" s="419"/>
      <c r="SJH49" s="419"/>
      <c r="SJI49" s="419"/>
      <c r="SJJ49" s="419"/>
      <c r="SJK49" s="419"/>
      <c r="SJL49" s="419"/>
      <c r="SJM49" s="419"/>
      <c r="SJN49" s="419"/>
      <c r="SJO49" s="419"/>
      <c r="SJP49" s="419"/>
      <c r="SJQ49" s="419"/>
      <c r="SJR49" s="419"/>
      <c r="SJS49" s="419"/>
      <c r="SJT49" s="419"/>
      <c r="SJU49" s="419"/>
      <c r="SJV49" s="419"/>
      <c r="SJW49" s="419"/>
      <c r="SJX49" s="419"/>
      <c r="SJY49" s="419"/>
      <c r="SJZ49" s="419"/>
      <c r="SKA49" s="419"/>
      <c r="SKB49" s="419"/>
      <c r="SKC49" s="419"/>
      <c r="SKD49" s="419"/>
      <c r="SKE49" s="419"/>
      <c r="SKF49" s="419"/>
      <c r="SKG49" s="419"/>
      <c r="SKH49" s="419"/>
      <c r="SKI49" s="419"/>
      <c r="SKJ49" s="419"/>
      <c r="SKK49" s="419"/>
      <c r="SKL49" s="419"/>
      <c r="SKM49" s="419"/>
      <c r="SKN49" s="419"/>
      <c r="SKO49" s="419"/>
      <c r="SKP49" s="419"/>
      <c r="SKQ49" s="419"/>
      <c r="SKR49" s="419"/>
      <c r="SKS49" s="419"/>
      <c r="SKT49" s="419"/>
      <c r="SKU49" s="419"/>
      <c r="SKV49" s="419"/>
      <c r="SKW49" s="419"/>
      <c r="SKX49" s="419"/>
      <c r="SKY49" s="419"/>
      <c r="SKZ49" s="419"/>
      <c r="SLA49" s="419"/>
      <c r="SLB49" s="419"/>
      <c r="SLC49" s="419"/>
      <c r="SLD49" s="419"/>
      <c r="SLE49" s="419"/>
      <c r="SLF49" s="419"/>
      <c r="SLG49" s="419"/>
      <c r="SLH49" s="419"/>
      <c r="SLI49" s="419"/>
      <c r="SLJ49" s="419"/>
      <c r="SLK49" s="419"/>
      <c r="SLL49" s="419"/>
      <c r="SLM49" s="419"/>
      <c r="SLN49" s="419"/>
      <c r="SLO49" s="419"/>
      <c r="SLP49" s="419"/>
      <c r="SLQ49" s="419"/>
      <c r="SLR49" s="419"/>
      <c r="SLS49" s="419"/>
      <c r="SLT49" s="419"/>
      <c r="SLU49" s="419"/>
      <c r="SLV49" s="419"/>
      <c r="SLW49" s="419"/>
      <c r="SLX49" s="419"/>
      <c r="SLY49" s="419"/>
      <c r="SLZ49" s="419"/>
      <c r="SMA49" s="419"/>
      <c r="SMB49" s="419"/>
      <c r="SMC49" s="419"/>
      <c r="SMD49" s="419"/>
      <c r="SME49" s="419"/>
      <c r="SMF49" s="419"/>
      <c r="SMG49" s="419"/>
      <c r="SMH49" s="419"/>
      <c r="SMI49" s="419"/>
      <c r="SMJ49" s="419"/>
      <c r="SMK49" s="419"/>
      <c r="SML49" s="419"/>
      <c r="SMM49" s="419"/>
      <c r="SMN49" s="419"/>
      <c r="SMO49" s="419"/>
      <c r="SMP49" s="419"/>
      <c r="SMQ49" s="419"/>
      <c r="SMR49" s="419"/>
      <c r="SMS49" s="419"/>
      <c r="SMT49" s="419"/>
      <c r="SMU49" s="419"/>
      <c r="SMV49" s="419"/>
      <c r="SMW49" s="419"/>
      <c r="SMX49" s="419"/>
      <c r="SMY49" s="419"/>
      <c r="SMZ49" s="419"/>
      <c r="SNA49" s="419"/>
      <c r="SNB49" s="419"/>
      <c r="SNC49" s="419"/>
      <c r="SND49" s="419"/>
      <c r="SNE49" s="419"/>
      <c r="SNF49" s="419"/>
      <c r="SNG49" s="419"/>
      <c r="SNH49" s="419"/>
      <c r="SNI49" s="419"/>
      <c r="SNJ49" s="419"/>
      <c r="SNK49" s="419"/>
      <c r="SNL49" s="419"/>
      <c r="SNM49" s="419"/>
      <c r="SNN49" s="419"/>
      <c r="SNO49" s="419"/>
      <c r="SNP49" s="419"/>
      <c r="SNQ49" s="419"/>
      <c r="SNR49" s="419"/>
      <c r="SNS49" s="419"/>
      <c r="SNT49" s="419"/>
      <c r="SNU49" s="419"/>
      <c r="SNV49" s="419"/>
      <c r="SNW49" s="419"/>
      <c r="SNX49" s="419"/>
      <c r="SNY49" s="419"/>
      <c r="SNZ49" s="419"/>
      <c r="SOA49" s="419"/>
      <c r="SOB49" s="419"/>
      <c r="SOC49" s="419"/>
      <c r="SOD49" s="419"/>
      <c r="SOE49" s="419"/>
      <c r="SOF49" s="419"/>
      <c r="SOG49" s="419"/>
      <c r="SOH49" s="419"/>
      <c r="SOI49" s="419"/>
      <c r="SOJ49" s="419"/>
      <c r="SOK49" s="419"/>
      <c r="SOL49" s="419"/>
      <c r="SOM49" s="419"/>
      <c r="SON49" s="419"/>
      <c r="SOO49" s="419"/>
      <c r="SOP49" s="419"/>
      <c r="SOQ49" s="419"/>
      <c r="SOR49" s="419"/>
      <c r="SOS49" s="419"/>
      <c r="SOT49" s="419"/>
      <c r="SOU49" s="419"/>
      <c r="SOV49" s="419"/>
      <c r="SOW49" s="419"/>
      <c r="SOX49" s="419"/>
      <c r="SOY49" s="419"/>
      <c r="SOZ49" s="419"/>
      <c r="SPA49" s="419"/>
      <c r="SPB49" s="419"/>
      <c r="SPC49" s="419"/>
      <c r="SPD49" s="419"/>
      <c r="SPE49" s="419"/>
      <c r="SPF49" s="419"/>
      <c r="SPG49" s="419"/>
      <c r="SPH49" s="419"/>
      <c r="SPI49" s="419"/>
      <c r="SPJ49" s="419"/>
      <c r="SPK49" s="419"/>
      <c r="SPL49" s="419"/>
      <c r="SPM49" s="419"/>
      <c r="SPN49" s="419"/>
      <c r="SPO49" s="419"/>
      <c r="SPP49" s="419"/>
      <c r="SPQ49" s="419"/>
      <c r="SPR49" s="419"/>
      <c r="SPS49" s="419"/>
      <c r="SPT49" s="419"/>
      <c r="SPU49" s="419"/>
      <c r="SPV49" s="419"/>
      <c r="SPW49" s="419"/>
      <c r="SPX49" s="419"/>
      <c r="SPY49" s="419"/>
      <c r="SPZ49" s="419"/>
      <c r="SQA49" s="419"/>
      <c r="SQB49" s="419"/>
      <c r="SQC49" s="419"/>
      <c r="SQD49" s="419"/>
      <c r="SQE49" s="419"/>
      <c r="SQF49" s="419"/>
      <c r="SQG49" s="419"/>
      <c r="SQH49" s="419"/>
      <c r="SQI49" s="419"/>
      <c r="SQJ49" s="419"/>
      <c r="SQK49" s="419"/>
      <c r="SQL49" s="419"/>
      <c r="SQM49" s="419"/>
      <c r="SQN49" s="419"/>
      <c r="SQO49" s="419"/>
      <c r="SQP49" s="419"/>
      <c r="SQQ49" s="419"/>
      <c r="SQR49" s="419"/>
      <c r="SQS49" s="419"/>
      <c r="SQT49" s="419"/>
      <c r="SQU49" s="419"/>
      <c r="SQV49" s="419"/>
      <c r="SQW49" s="419"/>
      <c r="SQX49" s="419"/>
      <c r="SQY49" s="419"/>
      <c r="SQZ49" s="419"/>
      <c r="SRA49" s="419"/>
      <c r="SRB49" s="419"/>
      <c r="SRC49" s="419"/>
      <c r="SRD49" s="419"/>
      <c r="SRE49" s="419"/>
      <c r="SRF49" s="419"/>
      <c r="SRG49" s="419"/>
      <c r="SRH49" s="419"/>
      <c r="SRI49" s="419"/>
      <c r="SRJ49" s="419"/>
      <c r="SRK49" s="419"/>
      <c r="SRL49" s="419"/>
      <c r="SRM49" s="419"/>
      <c r="SRN49" s="419"/>
      <c r="SRO49" s="419"/>
      <c r="SRP49" s="419"/>
      <c r="SRQ49" s="419"/>
      <c r="SRR49" s="419"/>
      <c r="SRS49" s="419"/>
      <c r="SRT49" s="419"/>
      <c r="SRU49" s="419"/>
      <c r="SRV49" s="419"/>
      <c r="SRW49" s="419"/>
      <c r="SRX49" s="419"/>
      <c r="SRY49" s="419"/>
      <c r="SRZ49" s="419"/>
      <c r="SSA49" s="419"/>
      <c r="SSB49" s="419"/>
      <c r="SSC49" s="419"/>
      <c r="SSD49" s="419"/>
      <c r="SSE49" s="419"/>
      <c r="SSF49" s="419"/>
      <c r="SSG49" s="419"/>
      <c r="SSH49" s="419"/>
      <c r="SSI49" s="419"/>
      <c r="SSJ49" s="419"/>
      <c r="SSK49" s="419"/>
      <c r="SSL49" s="419"/>
      <c r="SSM49" s="419"/>
      <c r="SSN49" s="419"/>
      <c r="SSO49" s="419"/>
      <c r="SSP49" s="419"/>
      <c r="SSQ49" s="419"/>
      <c r="SSR49" s="419"/>
      <c r="SSS49" s="419"/>
      <c r="SST49" s="419"/>
      <c r="SSU49" s="419"/>
      <c r="SSV49" s="419"/>
      <c r="SSW49" s="419"/>
      <c r="SSX49" s="419"/>
      <c r="SSY49" s="419"/>
      <c r="SSZ49" s="419"/>
      <c r="STA49" s="419"/>
      <c r="STB49" s="419"/>
      <c r="STC49" s="419"/>
      <c r="STD49" s="419"/>
      <c r="STE49" s="419"/>
      <c r="STF49" s="419"/>
      <c r="STG49" s="419"/>
      <c r="STH49" s="419"/>
      <c r="STI49" s="419"/>
      <c r="STJ49" s="419"/>
      <c r="STK49" s="419"/>
      <c r="STL49" s="419"/>
      <c r="STM49" s="419"/>
      <c r="STN49" s="419"/>
      <c r="STO49" s="419"/>
      <c r="STP49" s="419"/>
      <c r="STQ49" s="419"/>
      <c r="STR49" s="419"/>
      <c r="STS49" s="419"/>
      <c r="STT49" s="419"/>
      <c r="STU49" s="419"/>
      <c r="STV49" s="419"/>
      <c r="STW49" s="419"/>
      <c r="STX49" s="419"/>
      <c r="STY49" s="419"/>
      <c r="STZ49" s="419"/>
      <c r="SUA49" s="419"/>
      <c r="SUB49" s="419"/>
      <c r="SUC49" s="419"/>
      <c r="SUD49" s="419"/>
      <c r="SUE49" s="419"/>
      <c r="SUF49" s="419"/>
      <c r="SUG49" s="419"/>
      <c r="SUH49" s="419"/>
      <c r="SUI49" s="419"/>
      <c r="SUJ49" s="419"/>
      <c r="SUK49" s="419"/>
      <c r="SUL49" s="419"/>
      <c r="SUM49" s="419"/>
      <c r="SUN49" s="419"/>
      <c r="SUO49" s="419"/>
      <c r="SUP49" s="419"/>
      <c r="SUQ49" s="419"/>
      <c r="SUR49" s="419"/>
      <c r="SUS49" s="419"/>
      <c r="SUT49" s="419"/>
      <c r="SUU49" s="419"/>
      <c r="SUV49" s="419"/>
      <c r="SUW49" s="419"/>
      <c r="SUX49" s="419"/>
      <c r="SUY49" s="419"/>
      <c r="SUZ49" s="419"/>
      <c r="SVA49" s="419"/>
      <c r="SVB49" s="419"/>
      <c r="SVC49" s="419"/>
      <c r="SVD49" s="419"/>
      <c r="SVE49" s="419"/>
      <c r="SVF49" s="419"/>
      <c r="SVG49" s="419"/>
      <c r="SVH49" s="419"/>
      <c r="SVI49" s="419"/>
      <c r="SVJ49" s="419"/>
      <c r="SVK49" s="419"/>
      <c r="SVL49" s="419"/>
      <c r="SVM49" s="419"/>
      <c r="SVN49" s="419"/>
      <c r="SVO49" s="419"/>
      <c r="SVP49" s="419"/>
      <c r="SVQ49" s="419"/>
      <c r="SVR49" s="419"/>
      <c r="SVS49" s="419"/>
      <c r="SVT49" s="419"/>
      <c r="SVU49" s="419"/>
      <c r="SVV49" s="419"/>
      <c r="SVW49" s="419"/>
      <c r="SVX49" s="419"/>
      <c r="SVY49" s="419"/>
      <c r="SVZ49" s="419"/>
      <c r="SWA49" s="419"/>
      <c r="SWB49" s="419"/>
      <c r="SWC49" s="419"/>
      <c r="SWD49" s="419"/>
      <c r="SWE49" s="419"/>
      <c r="SWF49" s="419"/>
      <c r="SWG49" s="419"/>
      <c r="SWH49" s="419"/>
      <c r="SWI49" s="419"/>
      <c r="SWJ49" s="419"/>
      <c r="SWK49" s="419"/>
      <c r="SWL49" s="419"/>
      <c r="SWM49" s="419"/>
      <c r="SWN49" s="419"/>
      <c r="SWO49" s="419"/>
      <c r="SWP49" s="419"/>
      <c r="SWQ49" s="419"/>
      <c r="SWR49" s="419"/>
      <c r="SWS49" s="419"/>
      <c r="SWT49" s="419"/>
      <c r="SWU49" s="419"/>
      <c r="SWV49" s="419"/>
      <c r="SWW49" s="419"/>
      <c r="SWX49" s="419"/>
      <c r="SWY49" s="419"/>
      <c r="SWZ49" s="419"/>
      <c r="SXA49" s="419"/>
      <c r="SXB49" s="419"/>
      <c r="SXC49" s="419"/>
      <c r="SXD49" s="419"/>
      <c r="SXE49" s="419"/>
      <c r="SXF49" s="419"/>
      <c r="SXG49" s="419"/>
      <c r="SXH49" s="419"/>
      <c r="SXI49" s="419"/>
      <c r="SXJ49" s="419"/>
      <c r="SXK49" s="419"/>
      <c r="SXL49" s="419"/>
      <c r="SXM49" s="419"/>
      <c r="SXN49" s="419"/>
      <c r="SXO49" s="419"/>
      <c r="SXP49" s="419"/>
      <c r="SXQ49" s="419"/>
      <c r="SXR49" s="419"/>
      <c r="SXS49" s="419"/>
      <c r="SXT49" s="419"/>
      <c r="SXU49" s="419"/>
      <c r="SXV49" s="419"/>
      <c r="SXW49" s="419"/>
      <c r="SXX49" s="419"/>
      <c r="SXY49" s="419"/>
      <c r="SXZ49" s="419"/>
      <c r="SYA49" s="419"/>
      <c r="SYB49" s="419"/>
      <c r="SYC49" s="419"/>
      <c r="SYD49" s="419"/>
      <c r="SYE49" s="419"/>
      <c r="SYF49" s="419"/>
      <c r="SYG49" s="419"/>
      <c r="SYH49" s="419"/>
      <c r="SYI49" s="419"/>
      <c r="SYJ49" s="419"/>
      <c r="SYK49" s="419"/>
      <c r="SYL49" s="419"/>
      <c r="SYM49" s="419"/>
      <c r="SYN49" s="419"/>
      <c r="SYO49" s="419"/>
      <c r="SYP49" s="419"/>
      <c r="SYQ49" s="419"/>
      <c r="SYR49" s="419"/>
      <c r="SYS49" s="419"/>
      <c r="SYT49" s="419"/>
      <c r="SYU49" s="419"/>
      <c r="SYV49" s="419"/>
      <c r="SYW49" s="419"/>
      <c r="SYX49" s="419"/>
      <c r="SYY49" s="419"/>
      <c r="SYZ49" s="419"/>
      <c r="SZA49" s="419"/>
      <c r="SZB49" s="419"/>
      <c r="SZC49" s="419"/>
      <c r="SZD49" s="419"/>
      <c r="SZE49" s="419"/>
      <c r="SZF49" s="419"/>
      <c r="SZG49" s="419"/>
      <c r="SZH49" s="419"/>
      <c r="SZI49" s="419"/>
      <c r="SZJ49" s="419"/>
      <c r="SZK49" s="419"/>
      <c r="SZL49" s="419"/>
      <c r="SZM49" s="419"/>
      <c r="SZN49" s="419"/>
      <c r="SZO49" s="419"/>
      <c r="SZP49" s="419"/>
      <c r="SZQ49" s="419"/>
      <c r="SZR49" s="419"/>
      <c r="SZS49" s="419"/>
      <c r="SZT49" s="419"/>
      <c r="SZU49" s="419"/>
      <c r="SZV49" s="419"/>
      <c r="SZW49" s="419"/>
      <c r="SZX49" s="419"/>
      <c r="SZY49" s="419"/>
      <c r="SZZ49" s="419"/>
      <c r="TAA49" s="419"/>
      <c r="TAB49" s="419"/>
      <c r="TAC49" s="419"/>
      <c r="TAD49" s="419"/>
      <c r="TAE49" s="419"/>
      <c r="TAF49" s="419"/>
      <c r="TAG49" s="419"/>
      <c r="TAH49" s="419"/>
      <c r="TAI49" s="419"/>
      <c r="TAJ49" s="419"/>
      <c r="TAK49" s="419"/>
      <c r="TAL49" s="419"/>
      <c r="TAM49" s="419"/>
      <c r="TAN49" s="419"/>
      <c r="TAO49" s="419"/>
      <c r="TAP49" s="419"/>
      <c r="TAQ49" s="419"/>
      <c r="TAR49" s="419"/>
      <c r="TAS49" s="419"/>
      <c r="TAT49" s="419"/>
      <c r="TAU49" s="419"/>
      <c r="TAV49" s="419"/>
      <c r="TAW49" s="419"/>
      <c r="TAX49" s="419"/>
      <c r="TAY49" s="419"/>
      <c r="TAZ49" s="419"/>
      <c r="TBA49" s="419"/>
      <c r="TBB49" s="419"/>
      <c r="TBC49" s="419"/>
      <c r="TBD49" s="419"/>
      <c r="TBE49" s="419"/>
      <c r="TBF49" s="419"/>
      <c r="TBG49" s="419"/>
      <c r="TBH49" s="419"/>
      <c r="TBI49" s="419"/>
      <c r="TBJ49" s="419"/>
      <c r="TBK49" s="419"/>
      <c r="TBL49" s="419"/>
      <c r="TBM49" s="419"/>
      <c r="TBN49" s="419"/>
      <c r="TBO49" s="419"/>
      <c r="TBP49" s="419"/>
      <c r="TBQ49" s="419"/>
      <c r="TBR49" s="419"/>
      <c r="TBS49" s="419"/>
      <c r="TBT49" s="419"/>
      <c r="TBU49" s="419"/>
      <c r="TBV49" s="419"/>
      <c r="TBW49" s="419"/>
      <c r="TBX49" s="419"/>
      <c r="TBY49" s="419"/>
      <c r="TBZ49" s="419"/>
      <c r="TCA49" s="419"/>
      <c r="TCB49" s="419"/>
      <c r="TCC49" s="419"/>
      <c r="TCD49" s="419"/>
      <c r="TCE49" s="419"/>
      <c r="TCF49" s="419"/>
      <c r="TCG49" s="419"/>
      <c r="TCH49" s="419"/>
      <c r="TCI49" s="419"/>
      <c r="TCJ49" s="419"/>
      <c r="TCK49" s="419"/>
      <c r="TCL49" s="419"/>
      <c r="TCM49" s="419"/>
      <c r="TCN49" s="419"/>
      <c r="TCO49" s="419"/>
      <c r="TCP49" s="419"/>
      <c r="TCQ49" s="419"/>
      <c r="TCR49" s="419"/>
      <c r="TCS49" s="419"/>
      <c r="TCT49" s="419"/>
      <c r="TCU49" s="419"/>
      <c r="TCV49" s="419"/>
      <c r="TCW49" s="419"/>
      <c r="TCX49" s="419"/>
      <c r="TCY49" s="419"/>
      <c r="TCZ49" s="419"/>
      <c r="TDA49" s="419"/>
      <c r="TDB49" s="419"/>
      <c r="TDC49" s="419"/>
      <c r="TDD49" s="419"/>
      <c r="TDE49" s="419"/>
      <c r="TDF49" s="419"/>
      <c r="TDG49" s="419"/>
      <c r="TDH49" s="419"/>
      <c r="TDI49" s="419"/>
      <c r="TDJ49" s="419"/>
      <c r="TDK49" s="419"/>
      <c r="TDL49" s="419"/>
      <c r="TDM49" s="419"/>
      <c r="TDN49" s="419"/>
      <c r="TDO49" s="419"/>
      <c r="TDP49" s="419"/>
      <c r="TDQ49" s="419"/>
      <c r="TDR49" s="419"/>
      <c r="TDS49" s="419"/>
      <c r="TDT49" s="419"/>
      <c r="TDU49" s="419"/>
      <c r="TDV49" s="419"/>
      <c r="TDW49" s="419"/>
      <c r="TDX49" s="419"/>
      <c r="TDY49" s="419"/>
      <c r="TDZ49" s="419"/>
      <c r="TEA49" s="419"/>
      <c r="TEB49" s="419"/>
      <c r="TEC49" s="419"/>
      <c r="TED49" s="419"/>
      <c r="TEE49" s="419"/>
      <c r="TEF49" s="419"/>
      <c r="TEG49" s="419"/>
      <c r="TEH49" s="419"/>
      <c r="TEI49" s="419"/>
      <c r="TEJ49" s="419"/>
      <c r="TEK49" s="419"/>
      <c r="TEL49" s="419"/>
      <c r="TEM49" s="419"/>
      <c r="TEN49" s="419"/>
      <c r="TEO49" s="419"/>
      <c r="TEP49" s="419"/>
      <c r="TEQ49" s="419"/>
      <c r="TER49" s="419"/>
      <c r="TES49" s="419"/>
      <c r="TET49" s="419"/>
      <c r="TEU49" s="419"/>
      <c r="TEV49" s="419"/>
      <c r="TEW49" s="419"/>
      <c r="TEX49" s="419"/>
      <c r="TEY49" s="419"/>
      <c r="TEZ49" s="419"/>
      <c r="TFA49" s="419"/>
      <c r="TFB49" s="419"/>
      <c r="TFC49" s="419"/>
      <c r="TFD49" s="419"/>
      <c r="TFE49" s="419"/>
      <c r="TFF49" s="419"/>
      <c r="TFG49" s="419"/>
      <c r="TFH49" s="419"/>
      <c r="TFI49" s="419"/>
      <c r="TFJ49" s="419"/>
      <c r="TFK49" s="419"/>
      <c r="TFL49" s="419"/>
      <c r="TFM49" s="419"/>
      <c r="TFN49" s="419"/>
      <c r="TFO49" s="419"/>
      <c r="TFP49" s="419"/>
      <c r="TFQ49" s="419"/>
      <c r="TFR49" s="419"/>
      <c r="TFS49" s="419"/>
      <c r="TFT49" s="419"/>
      <c r="TFU49" s="419"/>
      <c r="TFV49" s="419"/>
      <c r="TFW49" s="419"/>
      <c r="TFX49" s="419"/>
      <c r="TFY49" s="419"/>
      <c r="TFZ49" s="419"/>
      <c r="TGA49" s="419"/>
      <c r="TGB49" s="419"/>
      <c r="TGC49" s="419"/>
      <c r="TGD49" s="419"/>
      <c r="TGE49" s="419"/>
      <c r="TGF49" s="419"/>
      <c r="TGG49" s="419"/>
      <c r="TGH49" s="419"/>
      <c r="TGI49" s="419"/>
      <c r="TGJ49" s="419"/>
      <c r="TGK49" s="419"/>
      <c r="TGL49" s="419"/>
      <c r="TGM49" s="419"/>
      <c r="TGN49" s="419"/>
      <c r="TGO49" s="419"/>
      <c r="TGP49" s="419"/>
      <c r="TGQ49" s="419"/>
      <c r="TGR49" s="419"/>
      <c r="TGS49" s="419"/>
      <c r="TGT49" s="419"/>
      <c r="TGU49" s="419"/>
      <c r="TGV49" s="419"/>
      <c r="TGW49" s="419"/>
      <c r="TGX49" s="419"/>
      <c r="TGY49" s="419"/>
      <c r="TGZ49" s="419"/>
      <c r="THA49" s="419"/>
      <c r="THB49" s="419"/>
      <c r="THC49" s="419"/>
      <c r="THD49" s="419"/>
      <c r="THE49" s="419"/>
      <c r="THF49" s="419"/>
      <c r="THG49" s="419"/>
      <c r="THH49" s="419"/>
      <c r="THI49" s="419"/>
      <c r="THJ49" s="419"/>
      <c r="THK49" s="419"/>
      <c r="THL49" s="419"/>
      <c r="THM49" s="419"/>
      <c r="THN49" s="419"/>
      <c r="THO49" s="419"/>
      <c r="THP49" s="419"/>
      <c r="THQ49" s="419"/>
      <c r="THR49" s="419"/>
      <c r="THS49" s="419"/>
      <c r="THT49" s="419"/>
      <c r="THU49" s="419"/>
      <c r="THV49" s="419"/>
      <c r="THW49" s="419"/>
      <c r="THX49" s="419"/>
      <c r="THY49" s="419"/>
      <c r="THZ49" s="419"/>
      <c r="TIA49" s="419"/>
      <c r="TIB49" s="419"/>
      <c r="TIC49" s="419"/>
      <c r="TID49" s="419"/>
      <c r="TIE49" s="419"/>
      <c r="TIF49" s="419"/>
      <c r="TIG49" s="419"/>
      <c r="TIH49" s="419"/>
      <c r="TII49" s="419"/>
      <c r="TIJ49" s="419"/>
      <c r="TIK49" s="419"/>
      <c r="TIL49" s="419"/>
      <c r="TIM49" s="419"/>
      <c r="TIN49" s="419"/>
      <c r="TIO49" s="419"/>
      <c r="TIP49" s="419"/>
      <c r="TIQ49" s="419"/>
      <c r="TIR49" s="419"/>
      <c r="TIS49" s="419"/>
      <c r="TIT49" s="419"/>
      <c r="TIU49" s="419"/>
      <c r="TIV49" s="419"/>
      <c r="TIW49" s="419"/>
      <c r="TIX49" s="419"/>
      <c r="TIY49" s="419"/>
      <c r="TIZ49" s="419"/>
      <c r="TJA49" s="419"/>
      <c r="TJB49" s="419"/>
      <c r="TJC49" s="419"/>
      <c r="TJD49" s="419"/>
      <c r="TJE49" s="419"/>
      <c r="TJF49" s="419"/>
      <c r="TJG49" s="419"/>
      <c r="TJH49" s="419"/>
      <c r="TJI49" s="419"/>
      <c r="TJJ49" s="419"/>
      <c r="TJK49" s="419"/>
      <c r="TJL49" s="419"/>
      <c r="TJM49" s="419"/>
      <c r="TJN49" s="419"/>
      <c r="TJO49" s="419"/>
      <c r="TJP49" s="419"/>
      <c r="TJQ49" s="419"/>
      <c r="TJR49" s="419"/>
      <c r="TJS49" s="419"/>
      <c r="TJT49" s="419"/>
      <c r="TJU49" s="419"/>
      <c r="TJV49" s="419"/>
      <c r="TJW49" s="419"/>
      <c r="TJX49" s="419"/>
      <c r="TJY49" s="419"/>
      <c r="TJZ49" s="419"/>
      <c r="TKA49" s="419"/>
      <c r="TKB49" s="419"/>
      <c r="TKC49" s="419"/>
      <c r="TKD49" s="419"/>
      <c r="TKE49" s="419"/>
      <c r="TKF49" s="419"/>
      <c r="TKG49" s="419"/>
      <c r="TKH49" s="419"/>
      <c r="TKI49" s="419"/>
      <c r="TKJ49" s="419"/>
      <c r="TKK49" s="419"/>
      <c r="TKL49" s="419"/>
      <c r="TKM49" s="419"/>
      <c r="TKN49" s="419"/>
      <c r="TKO49" s="419"/>
      <c r="TKP49" s="419"/>
      <c r="TKQ49" s="419"/>
      <c r="TKR49" s="419"/>
      <c r="TKS49" s="419"/>
      <c r="TKT49" s="419"/>
      <c r="TKU49" s="419"/>
      <c r="TKV49" s="419"/>
      <c r="TKW49" s="419"/>
      <c r="TKX49" s="419"/>
      <c r="TKY49" s="419"/>
      <c r="TKZ49" s="419"/>
      <c r="TLA49" s="419"/>
      <c r="TLB49" s="419"/>
      <c r="TLC49" s="419"/>
      <c r="TLD49" s="419"/>
      <c r="TLE49" s="419"/>
      <c r="TLF49" s="419"/>
      <c r="TLG49" s="419"/>
      <c r="TLH49" s="419"/>
      <c r="TLI49" s="419"/>
      <c r="TLJ49" s="419"/>
      <c r="TLK49" s="419"/>
      <c r="TLL49" s="419"/>
      <c r="TLM49" s="419"/>
      <c r="TLN49" s="419"/>
      <c r="TLO49" s="419"/>
      <c r="TLP49" s="419"/>
      <c r="TLQ49" s="419"/>
      <c r="TLR49" s="419"/>
      <c r="TLS49" s="419"/>
      <c r="TLT49" s="419"/>
      <c r="TLU49" s="419"/>
      <c r="TLV49" s="419"/>
      <c r="TLW49" s="419"/>
      <c r="TLX49" s="419"/>
      <c r="TLY49" s="419"/>
      <c r="TLZ49" s="419"/>
      <c r="TMA49" s="419"/>
      <c r="TMB49" s="419"/>
      <c r="TMC49" s="419"/>
      <c r="TMD49" s="419"/>
      <c r="TME49" s="419"/>
      <c r="TMF49" s="419"/>
      <c r="TMG49" s="419"/>
      <c r="TMH49" s="419"/>
      <c r="TMI49" s="419"/>
      <c r="TMJ49" s="419"/>
      <c r="TMK49" s="419"/>
      <c r="TML49" s="419"/>
      <c r="TMM49" s="419"/>
      <c r="TMN49" s="419"/>
      <c r="TMO49" s="419"/>
      <c r="TMP49" s="419"/>
      <c r="TMQ49" s="419"/>
      <c r="TMR49" s="419"/>
      <c r="TMS49" s="419"/>
      <c r="TMT49" s="419"/>
      <c r="TMU49" s="419"/>
      <c r="TMV49" s="419"/>
      <c r="TMW49" s="419"/>
      <c r="TMX49" s="419"/>
      <c r="TMY49" s="419"/>
      <c r="TMZ49" s="419"/>
      <c r="TNA49" s="419"/>
      <c r="TNB49" s="419"/>
      <c r="TNC49" s="419"/>
      <c r="TND49" s="419"/>
      <c r="TNE49" s="419"/>
      <c r="TNF49" s="419"/>
      <c r="TNG49" s="419"/>
      <c r="TNH49" s="419"/>
      <c r="TNI49" s="419"/>
      <c r="TNJ49" s="419"/>
      <c r="TNK49" s="419"/>
      <c r="TNL49" s="419"/>
      <c r="TNM49" s="419"/>
      <c r="TNN49" s="419"/>
      <c r="TNO49" s="419"/>
      <c r="TNP49" s="419"/>
      <c r="TNQ49" s="419"/>
      <c r="TNR49" s="419"/>
      <c r="TNS49" s="419"/>
      <c r="TNT49" s="419"/>
      <c r="TNU49" s="419"/>
      <c r="TNV49" s="419"/>
      <c r="TNW49" s="419"/>
      <c r="TNX49" s="419"/>
      <c r="TNY49" s="419"/>
      <c r="TNZ49" s="419"/>
      <c r="TOA49" s="419"/>
      <c r="TOB49" s="419"/>
      <c r="TOC49" s="419"/>
      <c r="TOD49" s="419"/>
      <c r="TOE49" s="419"/>
      <c r="TOF49" s="419"/>
      <c r="TOG49" s="419"/>
      <c r="TOH49" s="419"/>
      <c r="TOI49" s="419"/>
      <c r="TOJ49" s="419"/>
      <c r="TOK49" s="419"/>
      <c r="TOL49" s="419"/>
      <c r="TOM49" s="419"/>
      <c r="TON49" s="419"/>
      <c r="TOO49" s="419"/>
      <c r="TOP49" s="419"/>
      <c r="TOQ49" s="419"/>
      <c r="TOR49" s="419"/>
      <c r="TOS49" s="419"/>
      <c r="TOT49" s="419"/>
      <c r="TOU49" s="419"/>
      <c r="TOV49" s="419"/>
      <c r="TOW49" s="419"/>
      <c r="TOX49" s="419"/>
      <c r="TOY49" s="419"/>
      <c r="TOZ49" s="419"/>
      <c r="TPA49" s="419"/>
      <c r="TPB49" s="419"/>
      <c r="TPC49" s="419"/>
      <c r="TPD49" s="419"/>
      <c r="TPE49" s="419"/>
      <c r="TPF49" s="419"/>
      <c r="TPG49" s="419"/>
      <c r="TPH49" s="419"/>
      <c r="TPI49" s="419"/>
      <c r="TPJ49" s="419"/>
      <c r="TPK49" s="419"/>
      <c r="TPL49" s="419"/>
      <c r="TPM49" s="419"/>
      <c r="TPN49" s="419"/>
      <c r="TPO49" s="419"/>
      <c r="TPP49" s="419"/>
      <c r="TPQ49" s="419"/>
      <c r="TPR49" s="419"/>
      <c r="TPS49" s="419"/>
      <c r="TPT49" s="419"/>
      <c r="TPU49" s="419"/>
      <c r="TPV49" s="419"/>
      <c r="TPW49" s="419"/>
      <c r="TPX49" s="419"/>
      <c r="TPY49" s="419"/>
      <c r="TPZ49" s="419"/>
      <c r="TQA49" s="419"/>
      <c r="TQB49" s="419"/>
      <c r="TQC49" s="419"/>
      <c r="TQD49" s="419"/>
      <c r="TQE49" s="419"/>
      <c r="TQF49" s="419"/>
      <c r="TQG49" s="419"/>
      <c r="TQH49" s="419"/>
      <c r="TQI49" s="419"/>
      <c r="TQJ49" s="419"/>
      <c r="TQK49" s="419"/>
      <c r="TQL49" s="419"/>
      <c r="TQM49" s="419"/>
      <c r="TQN49" s="419"/>
      <c r="TQO49" s="419"/>
      <c r="TQP49" s="419"/>
      <c r="TQQ49" s="419"/>
      <c r="TQR49" s="419"/>
      <c r="TQS49" s="419"/>
      <c r="TQT49" s="419"/>
      <c r="TQU49" s="419"/>
      <c r="TQV49" s="419"/>
      <c r="TQW49" s="419"/>
      <c r="TQX49" s="419"/>
      <c r="TQY49" s="419"/>
      <c r="TQZ49" s="419"/>
      <c r="TRA49" s="419"/>
      <c r="TRB49" s="419"/>
      <c r="TRC49" s="419"/>
      <c r="TRD49" s="419"/>
      <c r="TRE49" s="419"/>
      <c r="TRF49" s="419"/>
      <c r="TRG49" s="419"/>
      <c r="TRH49" s="419"/>
      <c r="TRI49" s="419"/>
      <c r="TRJ49" s="419"/>
      <c r="TRK49" s="419"/>
      <c r="TRL49" s="419"/>
      <c r="TRM49" s="419"/>
      <c r="TRN49" s="419"/>
      <c r="TRO49" s="419"/>
      <c r="TRP49" s="419"/>
      <c r="TRQ49" s="419"/>
      <c r="TRR49" s="419"/>
      <c r="TRS49" s="419"/>
      <c r="TRT49" s="419"/>
      <c r="TRU49" s="419"/>
      <c r="TRV49" s="419"/>
      <c r="TRW49" s="419"/>
      <c r="TRX49" s="419"/>
      <c r="TRY49" s="419"/>
      <c r="TRZ49" s="419"/>
      <c r="TSA49" s="419"/>
      <c r="TSB49" s="419"/>
      <c r="TSC49" s="419"/>
      <c r="TSD49" s="419"/>
      <c r="TSE49" s="419"/>
      <c r="TSF49" s="419"/>
      <c r="TSG49" s="419"/>
      <c r="TSH49" s="419"/>
      <c r="TSI49" s="419"/>
      <c r="TSJ49" s="419"/>
      <c r="TSK49" s="419"/>
      <c r="TSL49" s="419"/>
      <c r="TSM49" s="419"/>
      <c r="TSN49" s="419"/>
      <c r="TSO49" s="419"/>
      <c r="TSP49" s="419"/>
      <c r="TSQ49" s="419"/>
      <c r="TSR49" s="419"/>
      <c r="TSS49" s="419"/>
      <c r="TST49" s="419"/>
      <c r="TSU49" s="419"/>
      <c r="TSV49" s="419"/>
      <c r="TSW49" s="419"/>
      <c r="TSX49" s="419"/>
      <c r="TSY49" s="419"/>
      <c r="TSZ49" s="419"/>
      <c r="TTA49" s="419"/>
      <c r="TTB49" s="419"/>
      <c r="TTC49" s="419"/>
      <c r="TTD49" s="419"/>
      <c r="TTE49" s="419"/>
      <c r="TTF49" s="419"/>
      <c r="TTG49" s="419"/>
      <c r="TTH49" s="419"/>
      <c r="TTI49" s="419"/>
      <c r="TTJ49" s="419"/>
      <c r="TTK49" s="419"/>
      <c r="TTL49" s="419"/>
      <c r="TTM49" s="419"/>
      <c r="TTN49" s="419"/>
      <c r="TTO49" s="419"/>
      <c r="TTP49" s="419"/>
      <c r="TTQ49" s="419"/>
      <c r="TTR49" s="419"/>
      <c r="TTS49" s="419"/>
      <c r="TTT49" s="419"/>
      <c r="TTU49" s="419"/>
      <c r="TTV49" s="419"/>
      <c r="TTW49" s="419"/>
      <c r="TTX49" s="419"/>
      <c r="TTY49" s="419"/>
      <c r="TTZ49" s="419"/>
      <c r="TUA49" s="419"/>
      <c r="TUB49" s="419"/>
      <c r="TUC49" s="419"/>
      <c r="TUD49" s="419"/>
      <c r="TUE49" s="419"/>
      <c r="TUF49" s="419"/>
      <c r="TUG49" s="419"/>
      <c r="TUH49" s="419"/>
      <c r="TUI49" s="419"/>
      <c r="TUJ49" s="419"/>
      <c r="TUK49" s="419"/>
      <c r="TUL49" s="419"/>
      <c r="TUM49" s="419"/>
      <c r="TUN49" s="419"/>
      <c r="TUO49" s="419"/>
      <c r="TUP49" s="419"/>
      <c r="TUQ49" s="419"/>
      <c r="TUR49" s="419"/>
      <c r="TUS49" s="419"/>
      <c r="TUT49" s="419"/>
      <c r="TUU49" s="419"/>
      <c r="TUV49" s="419"/>
      <c r="TUW49" s="419"/>
      <c r="TUX49" s="419"/>
      <c r="TUY49" s="419"/>
      <c r="TUZ49" s="419"/>
      <c r="TVA49" s="419"/>
      <c r="TVB49" s="419"/>
      <c r="TVC49" s="419"/>
      <c r="TVD49" s="419"/>
      <c r="TVE49" s="419"/>
      <c r="TVF49" s="419"/>
      <c r="TVG49" s="419"/>
      <c r="TVH49" s="419"/>
      <c r="TVI49" s="419"/>
      <c r="TVJ49" s="419"/>
      <c r="TVK49" s="419"/>
      <c r="TVL49" s="419"/>
      <c r="TVM49" s="419"/>
      <c r="TVN49" s="419"/>
      <c r="TVO49" s="419"/>
      <c r="TVP49" s="419"/>
      <c r="TVQ49" s="419"/>
      <c r="TVR49" s="419"/>
      <c r="TVS49" s="419"/>
      <c r="TVT49" s="419"/>
      <c r="TVU49" s="419"/>
      <c r="TVV49" s="419"/>
      <c r="TVW49" s="419"/>
      <c r="TVX49" s="419"/>
      <c r="TVY49" s="419"/>
      <c r="TVZ49" s="419"/>
      <c r="TWA49" s="419"/>
      <c r="TWB49" s="419"/>
      <c r="TWC49" s="419"/>
      <c r="TWD49" s="419"/>
      <c r="TWE49" s="419"/>
      <c r="TWF49" s="419"/>
      <c r="TWG49" s="419"/>
      <c r="TWH49" s="419"/>
      <c r="TWI49" s="419"/>
      <c r="TWJ49" s="419"/>
      <c r="TWK49" s="419"/>
      <c r="TWL49" s="419"/>
      <c r="TWM49" s="419"/>
      <c r="TWN49" s="419"/>
      <c r="TWO49" s="419"/>
      <c r="TWP49" s="419"/>
      <c r="TWQ49" s="419"/>
      <c r="TWR49" s="419"/>
      <c r="TWS49" s="419"/>
      <c r="TWT49" s="419"/>
      <c r="TWU49" s="419"/>
      <c r="TWV49" s="419"/>
      <c r="TWW49" s="419"/>
      <c r="TWX49" s="419"/>
      <c r="TWY49" s="419"/>
      <c r="TWZ49" s="419"/>
      <c r="TXA49" s="419"/>
      <c r="TXB49" s="419"/>
      <c r="TXC49" s="419"/>
      <c r="TXD49" s="419"/>
      <c r="TXE49" s="419"/>
      <c r="TXF49" s="419"/>
      <c r="TXG49" s="419"/>
      <c r="TXH49" s="419"/>
      <c r="TXI49" s="419"/>
      <c r="TXJ49" s="419"/>
      <c r="TXK49" s="419"/>
      <c r="TXL49" s="419"/>
      <c r="TXM49" s="419"/>
      <c r="TXN49" s="419"/>
      <c r="TXO49" s="419"/>
      <c r="TXP49" s="419"/>
      <c r="TXQ49" s="419"/>
      <c r="TXR49" s="419"/>
      <c r="TXS49" s="419"/>
      <c r="TXT49" s="419"/>
      <c r="TXU49" s="419"/>
      <c r="TXV49" s="419"/>
      <c r="TXW49" s="419"/>
      <c r="TXX49" s="419"/>
      <c r="TXY49" s="419"/>
      <c r="TXZ49" s="419"/>
      <c r="TYA49" s="419"/>
      <c r="TYB49" s="419"/>
      <c r="TYC49" s="419"/>
      <c r="TYD49" s="419"/>
      <c r="TYE49" s="419"/>
      <c r="TYF49" s="419"/>
      <c r="TYG49" s="419"/>
      <c r="TYH49" s="419"/>
      <c r="TYI49" s="419"/>
      <c r="TYJ49" s="419"/>
      <c r="TYK49" s="419"/>
      <c r="TYL49" s="419"/>
      <c r="TYM49" s="419"/>
      <c r="TYN49" s="419"/>
      <c r="TYO49" s="419"/>
      <c r="TYP49" s="419"/>
      <c r="TYQ49" s="419"/>
      <c r="TYR49" s="419"/>
      <c r="TYS49" s="419"/>
      <c r="TYT49" s="419"/>
      <c r="TYU49" s="419"/>
      <c r="TYV49" s="419"/>
      <c r="TYW49" s="419"/>
      <c r="TYX49" s="419"/>
      <c r="TYY49" s="419"/>
      <c r="TYZ49" s="419"/>
      <c r="TZA49" s="419"/>
      <c r="TZB49" s="419"/>
      <c r="TZC49" s="419"/>
      <c r="TZD49" s="419"/>
      <c r="TZE49" s="419"/>
      <c r="TZF49" s="419"/>
      <c r="TZG49" s="419"/>
      <c r="TZH49" s="419"/>
      <c r="TZI49" s="419"/>
      <c r="TZJ49" s="419"/>
      <c r="TZK49" s="419"/>
      <c r="TZL49" s="419"/>
      <c r="TZM49" s="419"/>
      <c r="TZN49" s="419"/>
      <c r="TZO49" s="419"/>
      <c r="TZP49" s="419"/>
      <c r="TZQ49" s="419"/>
      <c r="TZR49" s="419"/>
      <c r="TZS49" s="419"/>
      <c r="TZT49" s="419"/>
      <c r="TZU49" s="419"/>
      <c r="TZV49" s="419"/>
      <c r="TZW49" s="419"/>
      <c r="TZX49" s="419"/>
      <c r="TZY49" s="419"/>
      <c r="TZZ49" s="419"/>
      <c r="UAA49" s="419"/>
      <c r="UAB49" s="419"/>
      <c r="UAC49" s="419"/>
      <c r="UAD49" s="419"/>
      <c r="UAE49" s="419"/>
      <c r="UAF49" s="419"/>
      <c r="UAG49" s="419"/>
      <c r="UAH49" s="419"/>
      <c r="UAI49" s="419"/>
      <c r="UAJ49" s="419"/>
      <c r="UAK49" s="419"/>
      <c r="UAL49" s="419"/>
      <c r="UAM49" s="419"/>
      <c r="UAN49" s="419"/>
      <c r="UAO49" s="419"/>
      <c r="UAP49" s="419"/>
      <c r="UAQ49" s="419"/>
      <c r="UAR49" s="419"/>
      <c r="UAS49" s="419"/>
      <c r="UAT49" s="419"/>
      <c r="UAU49" s="419"/>
      <c r="UAV49" s="419"/>
      <c r="UAW49" s="419"/>
      <c r="UAX49" s="419"/>
      <c r="UAY49" s="419"/>
      <c r="UAZ49" s="419"/>
      <c r="UBA49" s="419"/>
      <c r="UBB49" s="419"/>
      <c r="UBC49" s="419"/>
      <c r="UBD49" s="419"/>
      <c r="UBE49" s="419"/>
      <c r="UBF49" s="419"/>
      <c r="UBG49" s="419"/>
      <c r="UBH49" s="419"/>
      <c r="UBI49" s="419"/>
      <c r="UBJ49" s="419"/>
      <c r="UBK49" s="419"/>
      <c r="UBL49" s="419"/>
      <c r="UBM49" s="419"/>
      <c r="UBN49" s="419"/>
      <c r="UBO49" s="419"/>
      <c r="UBP49" s="419"/>
      <c r="UBQ49" s="419"/>
      <c r="UBR49" s="419"/>
      <c r="UBS49" s="419"/>
      <c r="UBT49" s="419"/>
      <c r="UBU49" s="419"/>
      <c r="UBV49" s="419"/>
      <c r="UBW49" s="419"/>
      <c r="UBX49" s="419"/>
      <c r="UBY49" s="419"/>
      <c r="UBZ49" s="419"/>
      <c r="UCA49" s="419"/>
      <c r="UCB49" s="419"/>
      <c r="UCC49" s="419"/>
      <c r="UCD49" s="419"/>
      <c r="UCE49" s="419"/>
      <c r="UCF49" s="419"/>
      <c r="UCG49" s="419"/>
      <c r="UCH49" s="419"/>
      <c r="UCI49" s="419"/>
      <c r="UCJ49" s="419"/>
      <c r="UCK49" s="419"/>
      <c r="UCL49" s="419"/>
      <c r="UCM49" s="419"/>
      <c r="UCN49" s="419"/>
      <c r="UCO49" s="419"/>
      <c r="UCP49" s="419"/>
      <c r="UCQ49" s="419"/>
      <c r="UCR49" s="419"/>
      <c r="UCS49" s="419"/>
      <c r="UCT49" s="419"/>
      <c r="UCU49" s="419"/>
      <c r="UCV49" s="419"/>
      <c r="UCW49" s="419"/>
      <c r="UCX49" s="419"/>
      <c r="UCY49" s="419"/>
      <c r="UCZ49" s="419"/>
      <c r="UDA49" s="419"/>
      <c r="UDB49" s="419"/>
      <c r="UDC49" s="419"/>
      <c r="UDD49" s="419"/>
      <c r="UDE49" s="419"/>
      <c r="UDF49" s="419"/>
      <c r="UDG49" s="419"/>
      <c r="UDH49" s="419"/>
      <c r="UDI49" s="419"/>
      <c r="UDJ49" s="419"/>
      <c r="UDK49" s="419"/>
      <c r="UDL49" s="419"/>
      <c r="UDM49" s="419"/>
      <c r="UDN49" s="419"/>
      <c r="UDO49" s="419"/>
      <c r="UDP49" s="419"/>
      <c r="UDQ49" s="419"/>
      <c r="UDR49" s="419"/>
      <c r="UDS49" s="419"/>
      <c r="UDT49" s="419"/>
      <c r="UDU49" s="419"/>
      <c r="UDV49" s="419"/>
      <c r="UDW49" s="419"/>
      <c r="UDX49" s="419"/>
      <c r="UDY49" s="419"/>
      <c r="UDZ49" s="419"/>
      <c r="UEA49" s="419"/>
      <c r="UEB49" s="419"/>
      <c r="UEC49" s="419"/>
      <c r="UED49" s="419"/>
      <c r="UEE49" s="419"/>
      <c r="UEF49" s="419"/>
      <c r="UEG49" s="419"/>
      <c r="UEH49" s="419"/>
      <c r="UEI49" s="419"/>
      <c r="UEJ49" s="419"/>
      <c r="UEK49" s="419"/>
      <c r="UEL49" s="419"/>
      <c r="UEM49" s="419"/>
      <c r="UEN49" s="419"/>
      <c r="UEO49" s="419"/>
      <c r="UEP49" s="419"/>
      <c r="UEQ49" s="419"/>
      <c r="UER49" s="419"/>
      <c r="UES49" s="419"/>
      <c r="UET49" s="419"/>
      <c r="UEU49" s="419"/>
      <c r="UEV49" s="419"/>
      <c r="UEW49" s="419"/>
      <c r="UEX49" s="419"/>
      <c r="UEY49" s="419"/>
      <c r="UEZ49" s="419"/>
      <c r="UFA49" s="419"/>
      <c r="UFB49" s="419"/>
      <c r="UFC49" s="419"/>
      <c r="UFD49" s="419"/>
      <c r="UFE49" s="419"/>
      <c r="UFF49" s="419"/>
      <c r="UFG49" s="419"/>
      <c r="UFH49" s="419"/>
      <c r="UFI49" s="419"/>
      <c r="UFJ49" s="419"/>
      <c r="UFK49" s="419"/>
      <c r="UFL49" s="419"/>
      <c r="UFM49" s="419"/>
      <c r="UFN49" s="419"/>
      <c r="UFO49" s="419"/>
      <c r="UFP49" s="419"/>
      <c r="UFQ49" s="419"/>
      <c r="UFR49" s="419"/>
      <c r="UFS49" s="419"/>
      <c r="UFT49" s="419"/>
      <c r="UFU49" s="419"/>
      <c r="UFV49" s="419"/>
      <c r="UFW49" s="419"/>
      <c r="UFX49" s="419"/>
      <c r="UFY49" s="419"/>
      <c r="UFZ49" s="419"/>
      <c r="UGA49" s="419"/>
      <c r="UGB49" s="419"/>
      <c r="UGC49" s="419"/>
      <c r="UGD49" s="419"/>
      <c r="UGE49" s="419"/>
      <c r="UGF49" s="419"/>
      <c r="UGG49" s="419"/>
      <c r="UGH49" s="419"/>
      <c r="UGI49" s="419"/>
      <c r="UGJ49" s="419"/>
      <c r="UGK49" s="419"/>
      <c r="UGL49" s="419"/>
      <c r="UGM49" s="419"/>
      <c r="UGN49" s="419"/>
      <c r="UGO49" s="419"/>
      <c r="UGP49" s="419"/>
      <c r="UGQ49" s="419"/>
      <c r="UGR49" s="419"/>
      <c r="UGS49" s="419"/>
      <c r="UGT49" s="419"/>
      <c r="UGU49" s="419"/>
      <c r="UGV49" s="419"/>
      <c r="UGW49" s="419"/>
      <c r="UGX49" s="419"/>
      <c r="UGY49" s="419"/>
      <c r="UGZ49" s="419"/>
      <c r="UHA49" s="419"/>
      <c r="UHB49" s="419"/>
      <c r="UHC49" s="419"/>
      <c r="UHD49" s="419"/>
      <c r="UHE49" s="419"/>
      <c r="UHF49" s="419"/>
      <c r="UHG49" s="419"/>
      <c r="UHH49" s="419"/>
      <c r="UHI49" s="419"/>
      <c r="UHJ49" s="419"/>
      <c r="UHK49" s="419"/>
      <c r="UHL49" s="419"/>
      <c r="UHM49" s="419"/>
      <c r="UHN49" s="419"/>
      <c r="UHO49" s="419"/>
      <c r="UHP49" s="419"/>
      <c r="UHQ49" s="419"/>
      <c r="UHR49" s="419"/>
      <c r="UHS49" s="419"/>
      <c r="UHT49" s="419"/>
      <c r="UHU49" s="419"/>
      <c r="UHV49" s="419"/>
      <c r="UHW49" s="419"/>
      <c r="UHX49" s="419"/>
      <c r="UHY49" s="419"/>
      <c r="UHZ49" s="419"/>
      <c r="UIA49" s="419"/>
      <c r="UIB49" s="419"/>
      <c r="UIC49" s="419"/>
      <c r="UID49" s="419"/>
      <c r="UIE49" s="419"/>
      <c r="UIF49" s="419"/>
      <c r="UIG49" s="419"/>
      <c r="UIH49" s="419"/>
      <c r="UII49" s="419"/>
      <c r="UIJ49" s="419"/>
      <c r="UIK49" s="419"/>
      <c r="UIL49" s="419"/>
      <c r="UIM49" s="419"/>
      <c r="UIN49" s="419"/>
      <c r="UIO49" s="419"/>
      <c r="UIP49" s="419"/>
      <c r="UIQ49" s="419"/>
      <c r="UIR49" s="419"/>
      <c r="UIS49" s="419"/>
      <c r="UIT49" s="419"/>
      <c r="UIU49" s="419"/>
      <c r="UIV49" s="419"/>
      <c r="UIW49" s="419"/>
      <c r="UIX49" s="419"/>
      <c r="UIY49" s="419"/>
      <c r="UIZ49" s="419"/>
      <c r="UJA49" s="419"/>
      <c r="UJB49" s="419"/>
      <c r="UJC49" s="419"/>
      <c r="UJD49" s="419"/>
      <c r="UJE49" s="419"/>
      <c r="UJF49" s="419"/>
      <c r="UJG49" s="419"/>
      <c r="UJH49" s="419"/>
      <c r="UJI49" s="419"/>
      <c r="UJJ49" s="419"/>
      <c r="UJK49" s="419"/>
      <c r="UJL49" s="419"/>
      <c r="UJM49" s="419"/>
      <c r="UJN49" s="419"/>
      <c r="UJO49" s="419"/>
      <c r="UJP49" s="419"/>
      <c r="UJQ49" s="419"/>
      <c r="UJR49" s="419"/>
      <c r="UJS49" s="419"/>
      <c r="UJT49" s="419"/>
      <c r="UJU49" s="419"/>
      <c r="UJV49" s="419"/>
      <c r="UJW49" s="419"/>
      <c r="UJX49" s="419"/>
      <c r="UJY49" s="419"/>
      <c r="UJZ49" s="419"/>
      <c r="UKA49" s="419"/>
      <c r="UKB49" s="419"/>
      <c r="UKC49" s="419"/>
      <c r="UKD49" s="419"/>
      <c r="UKE49" s="419"/>
      <c r="UKF49" s="419"/>
      <c r="UKG49" s="419"/>
      <c r="UKH49" s="419"/>
      <c r="UKI49" s="419"/>
      <c r="UKJ49" s="419"/>
      <c r="UKK49" s="419"/>
      <c r="UKL49" s="419"/>
      <c r="UKM49" s="419"/>
      <c r="UKN49" s="419"/>
      <c r="UKO49" s="419"/>
      <c r="UKP49" s="419"/>
      <c r="UKQ49" s="419"/>
      <c r="UKR49" s="419"/>
      <c r="UKS49" s="419"/>
      <c r="UKT49" s="419"/>
      <c r="UKU49" s="419"/>
      <c r="UKV49" s="419"/>
      <c r="UKW49" s="419"/>
      <c r="UKX49" s="419"/>
      <c r="UKY49" s="419"/>
      <c r="UKZ49" s="419"/>
      <c r="ULA49" s="419"/>
      <c r="ULB49" s="419"/>
      <c r="ULC49" s="419"/>
      <c r="ULD49" s="419"/>
      <c r="ULE49" s="419"/>
      <c r="ULF49" s="419"/>
      <c r="ULG49" s="419"/>
      <c r="ULH49" s="419"/>
      <c r="ULI49" s="419"/>
      <c r="ULJ49" s="419"/>
      <c r="ULK49" s="419"/>
      <c r="ULL49" s="419"/>
      <c r="ULM49" s="419"/>
      <c r="ULN49" s="419"/>
      <c r="ULO49" s="419"/>
      <c r="ULP49" s="419"/>
      <c r="ULQ49" s="419"/>
      <c r="ULR49" s="419"/>
      <c r="ULS49" s="419"/>
      <c r="ULT49" s="419"/>
      <c r="ULU49" s="419"/>
      <c r="ULV49" s="419"/>
      <c r="ULW49" s="419"/>
      <c r="ULX49" s="419"/>
      <c r="ULY49" s="419"/>
      <c r="ULZ49" s="419"/>
      <c r="UMA49" s="419"/>
      <c r="UMB49" s="419"/>
      <c r="UMC49" s="419"/>
      <c r="UMD49" s="419"/>
      <c r="UME49" s="419"/>
      <c r="UMF49" s="419"/>
      <c r="UMG49" s="419"/>
      <c r="UMH49" s="419"/>
      <c r="UMI49" s="419"/>
      <c r="UMJ49" s="419"/>
      <c r="UMK49" s="419"/>
      <c r="UML49" s="419"/>
      <c r="UMM49" s="419"/>
      <c r="UMN49" s="419"/>
      <c r="UMO49" s="419"/>
      <c r="UMP49" s="419"/>
      <c r="UMQ49" s="419"/>
      <c r="UMR49" s="419"/>
      <c r="UMS49" s="419"/>
      <c r="UMT49" s="419"/>
      <c r="UMU49" s="419"/>
      <c r="UMV49" s="419"/>
      <c r="UMW49" s="419"/>
      <c r="UMX49" s="419"/>
      <c r="UMY49" s="419"/>
      <c r="UMZ49" s="419"/>
      <c r="UNA49" s="419"/>
      <c r="UNB49" s="419"/>
      <c r="UNC49" s="419"/>
      <c r="UND49" s="419"/>
      <c r="UNE49" s="419"/>
      <c r="UNF49" s="419"/>
      <c r="UNG49" s="419"/>
      <c r="UNH49" s="419"/>
      <c r="UNI49" s="419"/>
      <c r="UNJ49" s="419"/>
      <c r="UNK49" s="419"/>
      <c r="UNL49" s="419"/>
      <c r="UNM49" s="419"/>
      <c r="UNN49" s="419"/>
      <c r="UNO49" s="419"/>
      <c r="UNP49" s="419"/>
      <c r="UNQ49" s="419"/>
      <c r="UNR49" s="419"/>
      <c r="UNS49" s="419"/>
      <c r="UNT49" s="419"/>
      <c r="UNU49" s="419"/>
      <c r="UNV49" s="419"/>
      <c r="UNW49" s="419"/>
      <c r="UNX49" s="419"/>
      <c r="UNY49" s="419"/>
      <c r="UNZ49" s="419"/>
      <c r="UOA49" s="419"/>
      <c r="UOB49" s="419"/>
      <c r="UOC49" s="419"/>
      <c r="UOD49" s="419"/>
      <c r="UOE49" s="419"/>
      <c r="UOF49" s="419"/>
      <c r="UOG49" s="419"/>
      <c r="UOH49" s="419"/>
      <c r="UOI49" s="419"/>
      <c r="UOJ49" s="419"/>
      <c r="UOK49" s="419"/>
      <c r="UOL49" s="419"/>
      <c r="UOM49" s="419"/>
      <c r="UON49" s="419"/>
      <c r="UOO49" s="419"/>
      <c r="UOP49" s="419"/>
      <c r="UOQ49" s="419"/>
      <c r="UOR49" s="419"/>
      <c r="UOS49" s="419"/>
      <c r="UOT49" s="419"/>
      <c r="UOU49" s="419"/>
      <c r="UOV49" s="419"/>
      <c r="UOW49" s="419"/>
      <c r="UOX49" s="419"/>
      <c r="UOY49" s="419"/>
      <c r="UOZ49" s="419"/>
      <c r="UPA49" s="419"/>
      <c r="UPB49" s="419"/>
      <c r="UPC49" s="419"/>
      <c r="UPD49" s="419"/>
      <c r="UPE49" s="419"/>
      <c r="UPF49" s="419"/>
      <c r="UPG49" s="419"/>
      <c r="UPH49" s="419"/>
      <c r="UPI49" s="419"/>
      <c r="UPJ49" s="419"/>
      <c r="UPK49" s="419"/>
      <c r="UPL49" s="419"/>
      <c r="UPM49" s="419"/>
      <c r="UPN49" s="419"/>
      <c r="UPO49" s="419"/>
      <c r="UPP49" s="419"/>
      <c r="UPQ49" s="419"/>
      <c r="UPR49" s="419"/>
      <c r="UPS49" s="419"/>
      <c r="UPT49" s="419"/>
      <c r="UPU49" s="419"/>
      <c r="UPV49" s="419"/>
      <c r="UPW49" s="419"/>
      <c r="UPX49" s="419"/>
      <c r="UPY49" s="419"/>
      <c r="UPZ49" s="419"/>
      <c r="UQA49" s="419"/>
      <c r="UQB49" s="419"/>
      <c r="UQC49" s="419"/>
      <c r="UQD49" s="419"/>
      <c r="UQE49" s="419"/>
      <c r="UQF49" s="419"/>
      <c r="UQG49" s="419"/>
      <c r="UQH49" s="419"/>
      <c r="UQI49" s="419"/>
      <c r="UQJ49" s="419"/>
      <c r="UQK49" s="419"/>
      <c r="UQL49" s="419"/>
      <c r="UQM49" s="419"/>
      <c r="UQN49" s="419"/>
      <c r="UQO49" s="419"/>
      <c r="UQP49" s="419"/>
      <c r="UQQ49" s="419"/>
      <c r="UQR49" s="419"/>
      <c r="UQS49" s="419"/>
      <c r="UQT49" s="419"/>
      <c r="UQU49" s="419"/>
      <c r="UQV49" s="419"/>
      <c r="UQW49" s="419"/>
      <c r="UQX49" s="419"/>
      <c r="UQY49" s="419"/>
      <c r="UQZ49" s="419"/>
      <c r="URA49" s="419"/>
      <c r="URB49" s="419"/>
      <c r="URC49" s="419"/>
      <c r="URD49" s="419"/>
      <c r="URE49" s="419"/>
      <c r="URF49" s="419"/>
      <c r="URG49" s="419"/>
      <c r="URH49" s="419"/>
      <c r="URI49" s="419"/>
      <c r="URJ49" s="419"/>
      <c r="URK49" s="419"/>
      <c r="URL49" s="419"/>
      <c r="URM49" s="419"/>
      <c r="URN49" s="419"/>
      <c r="URO49" s="419"/>
      <c r="URP49" s="419"/>
      <c r="URQ49" s="419"/>
      <c r="URR49" s="419"/>
      <c r="URS49" s="419"/>
      <c r="URT49" s="419"/>
      <c r="URU49" s="419"/>
      <c r="URV49" s="419"/>
      <c r="URW49" s="419"/>
      <c r="URX49" s="419"/>
      <c r="URY49" s="419"/>
      <c r="URZ49" s="419"/>
      <c r="USA49" s="419"/>
      <c r="USB49" s="419"/>
      <c r="USC49" s="419"/>
      <c r="USD49" s="419"/>
      <c r="USE49" s="419"/>
      <c r="USF49" s="419"/>
      <c r="USG49" s="419"/>
      <c r="USH49" s="419"/>
      <c r="USI49" s="419"/>
      <c r="USJ49" s="419"/>
      <c r="USK49" s="419"/>
      <c r="USL49" s="419"/>
      <c r="USM49" s="419"/>
      <c r="USN49" s="419"/>
      <c r="USO49" s="419"/>
      <c r="USP49" s="419"/>
      <c r="USQ49" s="419"/>
      <c r="USR49" s="419"/>
      <c r="USS49" s="419"/>
      <c r="UST49" s="419"/>
      <c r="USU49" s="419"/>
      <c r="USV49" s="419"/>
      <c r="USW49" s="419"/>
      <c r="USX49" s="419"/>
      <c r="USY49" s="419"/>
      <c r="USZ49" s="419"/>
      <c r="UTA49" s="419"/>
      <c r="UTB49" s="419"/>
      <c r="UTC49" s="419"/>
      <c r="UTD49" s="419"/>
      <c r="UTE49" s="419"/>
      <c r="UTF49" s="419"/>
      <c r="UTG49" s="419"/>
      <c r="UTH49" s="419"/>
      <c r="UTI49" s="419"/>
      <c r="UTJ49" s="419"/>
      <c r="UTK49" s="419"/>
      <c r="UTL49" s="419"/>
      <c r="UTM49" s="419"/>
      <c r="UTN49" s="419"/>
      <c r="UTO49" s="419"/>
      <c r="UTP49" s="419"/>
      <c r="UTQ49" s="419"/>
      <c r="UTR49" s="419"/>
      <c r="UTS49" s="419"/>
      <c r="UTT49" s="419"/>
      <c r="UTU49" s="419"/>
      <c r="UTV49" s="419"/>
      <c r="UTW49" s="419"/>
      <c r="UTX49" s="419"/>
      <c r="UTY49" s="419"/>
      <c r="UTZ49" s="419"/>
      <c r="UUA49" s="419"/>
      <c r="UUB49" s="419"/>
      <c r="UUC49" s="419"/>
      <c r="UUD49" s="419"/>
      <c r="UUE49" s="419"/>
      <c r="UUF49" s="419"/>
      <c r="UUG49" s="419"/>
      <c r="UUH49" s="419"/>
      <c r="UUI49" s="419"/>
      <c r="UUJ49" s="419"/>
      <c r="UUK49" s="419"/>
      <c r="UUL49" s="419"/>
      <c r="UUM49" s="419"/>
      <c r="UUN49" s="419"/>
      <c r="UUO49" s="419"/>
      <c r="UUP49" s="419"/>
      <c r="UUQ49" s="419"/>
      <c r="UUR49" s="419"/>
      <c r="UUS49" s="419"/>
      <c r="UUT49" s="419"/>
      <c r="UUU49" s="419"/>
      <c r="UUV49" s="419"/>
      <c r="UUW49" s="419"/>
      <c r="UUX49" s="419"/>
      <c r="UUY49" s="419"/>
      <c r="UUZ49" s="419"/>
      <c r="UVA49" s="419"/>
      <c r="UVB49" s="419"/>
      <c r="UVC49" s="419"/>
      <c r="UVD49" s="419"/>
      <c r="UVE49" s="419"/>
      <c r="UVF49" s="419"/>
      <c r="UVG49" s="419"/>
      <c r="UVH49" s="419"/>
      <c r="UVI49" s="419"/>
      <c r="UVJ49" s="419"/>
      <c r="UVK49" s="419"/>
      <c r="UVL49" s="419"/>
      <c r="UVM49" s="419"/>
      <c r="UVN49" s="419"/>
      <c r="UVO49" s="419"/>
      <c r="UVP49" s="419"/>
      <c r="UVQ49" s="419"/>
      <c r="UVR49" s="419"/>
      <c r="UVS49" s="419"/>
      <c r="UVT49" s="419"/>
      <c r="UVU49" s="419"/>
      <c r="UVV49" s="419"/>
      <c r="UVW49" s="419"/>
      <c r="UVX49" s="419"/>
      <c r="UVY49" s="419"/>
      <c r="UVZ49" s="419"/>
      <c r="UWA49" s="419"/>
      <c r="UWB49" s="419"/>
      <c r="UWC49" s="419"/>
      <c r="UWD49" s="419"/>
      <c r="UWE49" s="419"/>
      <c r="UWF49" s="419"/>
      <c r="UWG49" s="419"/>
      <c r="UWH49" s="419"/>
      <c r="UWI49" s="419"/>
      <c r="UWJ49" s="419"/>
      <c r="UWK49" s="419"/>
      <c r="UWL49" s="419"/>
      <c r="UWM49" s="419"/>
      <c r="UWN49" s="419"/>
      <c r="UWO49" s="419"/>
      <c r="UWP49" s="419"/>
      <c r="UWQ49" s="419"/>
      <c r="UWR49" s="419"/>
      <c r="UWS49" s="419"/>
      <c r="UWT49" s="419"/>
      <c r="UWU49" s="419"/>
      <c r="UWV49" s="419"/>
      <c r="UWW49" s="419"/>
      <c r="UWX49" s="419"/>
      <c r="UWY49" s="419"/>
      <c r="UWZ49" s="419"/>
      <c r="UXA49" s="419"/>
      <c r="UXB49" s="419"/>
      <c r="UXC49" s="419"/>
      <c r="UXD49" s="419"/>
      <c r="UXE49" s="419"/>
      <c r="UXF49" s="419"/>
      <c r="UXG49" s="419"/>
      <c r="UXH49" s="419"/>
      <c r="UXI49" s="419"/>
      <c r="UXJ49" s="419"/>
      <c r="UXK49" s="419"/>
      <c r="UXL49" s="419"/>
      <c r="UXM49" s="419"/>
      <c r="UXN49" s="419"/>
      <c r="UXO49" s="419"/>
      <c r="UXP49" s="419"/>
      <c r="UXQ49" s="419"/>
      <c r="UXR49" s="419"/>
      <c r="UXS49" s="419"/>
      <c r="UXT49" s="419"/>
      <c r="UXU49" s="419"/>
      <c r="UXV49" s="419"/>
      <c r="UXW49" s="419"/>
      <c r="UXX49" s="419"/>
      <c r="UXY49" s="419"/>
      <c r="UXZ49" s="419"/>
      <c r="UYA49" s="419"/>
      <c r="UYB49" s="419"/>
      <c r="UYC49" s="419"/>
      <c r="UYD49" s="419"/>
      <c r="UYE49" s="419"/>
      <c r="UYF49" s="419"/>
      <c r="UYG49" s="419"/>
      <c r="UYH49" s="419"/>
      <c r="UYI49" s="419"/>
      <c r="UYJ49" s="419"/>
      <c r="UYK49" s="419"/>
      <c r="UYL49" s="419"/>
      <c r="UYM49" s="419"/>
      <c r="UYN49" s="419"/>
      <c r="UYO49" s="419"/>
      <c r="UYP49" s="419"/>
      <c r="UYQ49" s="419"/>
      <c r="UYR49" s="419"/>
      <c r="UYS49" s="419"/>
      <c r="UYT49" s="419"/>
      <c r="UYU49" s="419"/>
      <c r="UYV49" s="419"/>
      <c r="UYW49" s="419"/>
      <c r="UYX49" s="419"/>
      <c r="UYY49" s="419"/>
      <c r="UYZ49" s="419"/>
      <c r="UZA49" s="419"/>
      <c r="UZB49" s="419"/>
      <c r="UZC49" s="419"/>
      <c r="UZD49" s="419"/>
      <c r="UZE49" s="419"/>
      <c r="UZF49" s="419"/>
      <c r="UZG49" s="419"/>
      <c r="UZH49" s="419"/>
      <c r="UZI49" s="419"/>
      <c r="UZJ49" s="419"/>
      <c r="UZK49" s="419"/>
      <c r="UZL49" s="419"/>
      <c r="UZM49" s="419"/>
      <c r="UZN49" s="419"/>
      <c r="UZO49" s="419"/>
      <c r="UZP49" s="419"/>
      <c r="UZQ49" s="419"/>
      <c r="UZR49" s="419"/>
      <c r="UZS49" s="419"/>
      <c r="UZT49" s="419"/>
      <c r="UZU49" s="419"/>
      <c r="UZV49" s="419"/>
      <c r="UZW49" s="419"/>
      <c r="UZX49" s="419"/>
      <c r="UZY49" s="419"/>
      <c r="UZZ49" s="419"/>
      <c r="VAA49" s="419"/>
      <c r="VAB49" s="419"/>
      <c r="VAC49" s="419"/>
      <c r="VAD49" s="419"/>
      <c r="VAE49" s="419"/>
      <c r="VAF49" s="419"/>
      <c r="VAG49" s="419"/>
      <c r="VAH49" s="419"/>
      <c r="VAI49" s="419"/>
      <c r="VAJ49" s="419"/>
      <c r="VAK49" s="419"/>
      <c r="VAL49" s="419"/>
      <c r="VAM49" s="419"/>
      <c r="VAN49" s="419"/>
      <c r="VAO49" s="419"/>
      <c r="VAP49" s="419"/>
      <c r="VAQ49" s="419"/>
      <c r="VAR49" s="419"/>
      <c r="VAS49" s="419"/>
      <c r="VAT49" s="419"/>
      <c r="VAU49" s="419"/>
      <c r="VAV49" s="419"/>
      <c r="VAW49" s="419"/>
      <c r="VAX49" s="419"/>
      <c r="VAY49" s="419"/>
      <c r="VAZ49" s="419"/>
      <c r="VBA49" s="419"/>
      <c r="VBB49" s="419"/>
      <c r="VBC49" s="419"/>
      <c r="VBD49" s="419"/>
      <c r="VBE49" s="419"/>
      <c r="VBF49" s="419"/>
      <c r="VBG49" s="419"/>
      <c r="VBH49" s="419"/>
      <c r="VBI49" s="419"/>
      <c r="VBJ49" s="419"/>
      <c r="VBK49" s="419"/>
      <c r="VBL49" s="419"/>
      <c r="VBM49" s="419"/>
      <c r="VBN49" s="419"/>
      <c r="VBO49" s="419"/>
      <c r="VBP49" s="419"/>
      <c r="VBQ49" s="419"/>
      <c r="VBR49" s="419"/>
      <c r="VBS49" s="419"/>
      <c r="VBT49" s="419"/>
      <c r="VBU49" s="419"/>
      <c r="VBV49" s="419"/>
      <c r="VBW49" s="419"/>
      <c r="VBX49" s="419"/>
      <c r="VBY49" s="419"/>
      <c r="VBZ49" s="419"/>
      <c r="VCA49" s="419"/>
      <c r="VCB49" s="419"/>
      <c r="VCC49" s="419"/>
      <c r="VCD49" s="419"/>
      <c r="VCE49" s="419"/>
      <c r="VCF49" s="419"/>
      <c r="VCG49" s="419"/>
      <c r="VCH49" s="419"/>
      <c r="VCI49" s="419"/>
      <c r="VCJ49" s="419"/>
      <c r="VCK49" s="419"/>
      <c r="VCL49" s="419"/>
      <c r="VCM49" s="419"/>
      <c r="VCN49" s="419"/>
      <c r="VCO49" s="419"/>
      <c r="VCP49" s="419"/>
      <c r="VCQ49" s="419"/>
      <c r="VCR49" s="419"/>
      <c r="VCS49" s="419"/>
      <c r="VCT49" s="419"/>
      <c r="VCU49" s="419"/>
      <c r="VCV49" s="419"/>
      <c r="VCW49" s="419"/>
      <c r="VCX49" s="419"/>
      <c r="VCY49" s="419"/>
      <c r="VCZ49" s="419"/>
      <c r="VDA49" s="419"/>
      <c r="VDB49" s="419"/>
      <c r="VDC49" s="419"/>
      <c r="VDD49" s="419"/>
      <c r="VDE49" s="419"/>
      <c r="VDF49" s="419"/>
      <c r="VDG49" s="419"/>
      <c r="VDH49" s="419"/>
      <c r="VDI49" s="419"/>
      <c r="VDJ49" s="419"/>
      <c r="VDK49" s="419"/>
      <c r="VDL49" s="419"/>
      <c r="VDM49" s="419"/>
      <c r="VDN49" s="419"/>
      <c r="VDO49" s="419"/>
      <c r="VDP49" s="419"/>
      <c r="VDQ49" s="419"/>
      <c r="VDR49" s="419"/>
      <c r="VDS49" s="419"/>
      <c r="VDT49" s="419"/>
      <c r="VDU49" s="419"/>
      <c r="VDV49" s="419"/>
      <c r="VDW49" s="419"/>
      <c r="VDX49" s="419"/>
      <c r="VDY49" s="419"/>
      <c r="VDZ49" s="419"/>
      <c r="VEA49" s="419"/>
      <c r="VEB49" s="419"/>
      <c r="VEC49" s="419"/>
      <c r="VED49" s="419"/>
      <c r="VEE49" s="419"/>
      <c r="VEF49" s="419"/>
      <c r="VEG49" s="419"/>
      <c r="VEH49" s="419"/>
      <c r="VEI49" s="419"/>
      <c r="VEJ49" s="419"/>
      <c r="VEK49" s="419"/>
      <c r="VEL49" s="419"/>
      <c r="VEM49" s="419"/>
      <c r="VEN49" s="419"/>
      <c r="VEO49" s="419"/>
      <c r="VEP49" s="419"/>
      <c r="VEQ49" s="419"/>
      <c r="VER49" s="419"/>
      <c r="VES49" s="419"/>
      <c r="VET49" s="419"/>
      <c r="VEU49" s="419"/>
      <c r="VEV49" s="419"/>
      <c r="VEW49" s="419"/>
      <c r="VEX49" s="419"/>
      <c r="VEY49" s="419"/>
      <c r="VEZ49" s="419"/>
      <c r="VFA49" s="419"/>
      <c r="VFB49" s="419"/>
      <c r="VFC49" s="419"/>
      <c r="VFD49" s="419"/>
      <c r="VFE49" s="419"/>
      <c r="VFF49" s="419"/>
      <c r="VFG49" s="419"/>
      <c r="VFH49" s="419"/>
      <c r="VFI49" s="419"/>
      <c r="VFJ49" s="419"/>
      <c r="VFK49" s="419"/>
      <c r="VFL49" s="419"/>
      <c r="VFM49" s="419"/>
      <c r="VFN49" s="419"/>
      <c r="VFO49" s="419"/>
      <c r="VFP49" s="419"/>
      <c r="VFQ49" s="419"/>
      <c r="VFR49" s="419"/>
      <c r="VFS49" s="419"/>
      <c r="VFT49" s="419"/>
      <c r="VFU49" s="419"/>
      <c r="VFV49" s="419"/>
      <c r="VFW49" s="419"/>
      <c r="VFX49" s="419"/>
      <c r="VFY49" s="419"/>
      <c r="VFZ49" s="419"/>
      <c r="VGA49" s="419"/>
      <c r="VGB49" s="419"/>
      <c r="VGC49" s="419"/>
      <c r="VGD49" s="419"/>
      <c r="VGE49" s="419"/>
      <c r="VGF49" s="419"/>
      <c r="VGG49" s="419"/>
      <c r="VGH49" s="419"/>
      <c r="VGI49" s="419"/>
      <c r="VGJ49" s="419"/>
      <c r="VGK49" s="419"/>
      <c r="VGL49" s="419"/>
      <c r="VGM49" s="419"/>
      <c r="VGN49" s="419"/>
      <c r="VGO49" s="419"/>
      <c r="VGP49" s="419"/>
      <c r="VGQ49" s="419"/>
      <c r="VGR49" s="419"/>
      <c r="VGS49" s="419"/>
      <c r="VGT49" s="419"/>
      <c r="VGU49" s="419"/>
      <c r="VGV49" s="419"/>
      <c r="VGW49" s="419"/>
      <c r="VGX49" s="419"/>
      <c r="VGY49" s="419"/>
      <c r="VGZ49" s="419"/>
      <c r="VHA49" s="419"/>
      <c r="VHB49" s="419"/>
      <c r="VHC49" s="419"/>
      <c r="VHD49" s="419"/>
      <c r="VHE49" s="419"/>
      <c r="VHF49" s="419"/>
      <c r="VHG49" s="419"/>
      <c r="VHH49" s="419"/>
      <c r="VHI49" s="419"/>
      <c r="VHJ49" s="419"/>
      <c r="VHK49" s="419"/>
      <c r="VHL49" s="419"/>
      <c r="VHM49" s="419"/>
      <c r="VHN49" s="419"/>
      <c r="VHO49" s="419"/>
      <c r="VHP49" s="419"/>
      <c r="VHQ49" s="419"/>
      <c r="VHR49" s="419"/>
      <c r="VHS49" s="419"/>
      <c r="VHT49" s="419"/>
      <c r="VHU49" s="419"/>
      <c r="VHV49" s="419"/>
      <c r="VHW49" s="419"/>
      <c r="VHX49" s="419"/>
      <c r="VHY49" s="419"/>
      <c r="VHZ49" s="419"/>
      <c r="VIA49" s="419"/>
      <c r="VIB49" s="419"/>
      <c r="VIC49" s="419"/>
      <c r="VID49" s="419"/>
      <c r="VIE49" s="419"/>
      <c r="VIF49" s="419"/>
      <c r="VIG49" s="419"/>
      <c r="VIH49" s="419"/>
      <c r="VII49" s="419"/>
      <c r="VIJ49" s="419"/>
      <c r="VIK49" s="419"/>
      <c r="VIL49" s="419"/>
      <c r="VIM49" s="419"/>
      <c r="VIN49" s="419"/>
      <c r="VIO49" s="419"/>
      <c r="VIP49" s="419"/>
      <c r="VIQ49" s="419"/>
      <c r="VIR49" s="419"/>
      <c r="VIS49" s="419"/>
      <c r="VIT49" s="419"/>
      <c r="VIU49" s="419"/>
      <c r="VIV49" s="419"/>
      <c r="VIW49" s="419"/>
      <c r="VIX49" s="419"/>
      <c r="VIY49" s="419"/>
      <c r="VIZ49" s="419"/>
      <c r="VJA49" s="419"/>
      <c r="VJB49" s="419"/>
      <c r="VJC49" s="419"/>
      <c r="VJD49" s="419"/>
      <c r="VJE49" s="419"/>
      <c r="VJF49" s="419"/>
      <c r="VJG49" s="419"/>
      <c r="VJH49" s="419"/>
      <c r="VJI49" s="419"/>
      <c r="VJJ49" s="419"/>
      <c r="VJK49" s="419"/>
      <c r="VJL49" s="419"/>
      <c r="VJM49" s="419"/>
      <c r="VJN49" s="419"/>
      <c r="VJO49" s="419"/>
      <c r="VJP49" s="419"/>
      <c r="VJQ49" s="419"/>
      <c r="VJR49" s="419"/>
      <c r="VJS49" s="419"/>
      <c r="VJT49" s="419"/>
      <c r="VJU49" s="419"/>
      <c r="VJV49" s="419"/>
      <c r="VJW49" s="419"/>
      <c r="VJX49" s="419"/>
      <c r="VJY49" s="419"/>
      <c r="VJZ49" s="419"/>
      <c r="VKA49" s="419"/>
      <c r="VKB49" s="419"/>
      <c r="VKC49" s="419"/>
      <c r="VKD49" s="419"/>
      <c r="VKE49" s="419"/>
      <c r="VKF49" s="419"/>
      <c r="VKG49" s="419"/>
      <c r="VKH49" s="419"/>
      <c r="VKI49" s="419"/>
      <c r="VKJ49" s="419"/>
      <c r="VKK49" s="419"/>
      <c r="VKL49" s="419"/>
      <c r="VKM49" s="419"/>
      <c r="VKN49" s="419"/>
      <c r="VKO49" s="419"/>
      <c r="VKP49" s="419"/>
      <c r="VKQ49" s="419"/>
      <c r="VKR49" s="419"/>
      <c r="VKS49" s="419"/>
      <c r="VKT49" s="419"/>
      <c r="VKU49" s="419"/>
      <c r="VKV49" s="419"/>
      <c r="VKW49" s="419"/>
      <c r="VKX49" s="419"/>
      <c r="VKY49" s="419"/>
      <c r="VKZ49" s="419"/>
      <c r="VLA49" s="419"/>
      <c r="VLB49" s="419"/>
      <c r="VLC49" s="419"/>
      <c r="VLD49" s="419"/>
      <c r="VLE49" s="419"/>
      <c r="VLF49" s="419"/>
      <c r="VLG49" s="419"/>
      <c r="VLH49" s="419"/>
      <c r="VLI49" s="419"/>
      <c r="VLJ49" s="419"/>
      <c r="VLK49" s="419"/>
      <c r="VLL49" s="419"/>
      <c r="VLM49" s="419"/>
      <c r="VLN49" s="419"/>
      <c r="VLO49" s="419"/>
      <c r="VLP49" s="419"/>
      <c r="VLQ49" s="419"/>
      <c r="VLR49" s="419"/>
      <c r="VLS49" s="419"/>
      <c r="VLT49" s="419"/>
      <c r="VLU49" s="419"/>
      <c r="VLV49" s="419"/>
      <c r="VLW49" s="419"/>
      <c r="VLX49" s="419"/>
      <c r="VLY49" s="419"/>
      <c r="VLZ49" s="419"/>
      <c r="VMA49" s="419"/>
      <c r="VMB49" s="419"/>
      <c r="VMC49" s="419"/>
      <c r="VMD49" s="419"/>
      <c r="VME49" s="419"/>
      <c r="VMF49" s="419"/>
      <c r="VMG49" s="419"/>
      <c r="VMH49" s="419"/>
      <c r="VMI49" s="419"/>
      <c r="VMJ49" s="419"/>
      <c r="VMK49" s="419"/>
      <c r="VML49" s="419"/>
      <c r="VMM49" s="419"/>
      <c r="VMN49" s="419"/>
      <c r="VMO49" s="419"/>
      <c r="VMP49" s="419"/>
      <c r="VMQ49" s="419"/>
      <c r="VMR49" s="419"/>
      <c r="VMS49" s="419"/>
      <c r="VMT49" s="419"/>
      <c r="VMU49" s="419"/>
      <c r="VMV49" s="419"/>
      <c r="VMW49" s="419"/>
      <c r="VMX49" s="419"/>
      <c r="VMY49" s="419"/>
      <c r="VMZ49" s="419"/>
      <c r="VNA49" s="419"/>
      <c r="VNB49" s="419"/>
      <c r="VNC49" s="419"/>
      <c r="VND49" s="419"/>
      <c r="VNE49" s="419"/>
      <c r="VNF49" s="419"/>
      <c r="VNG49" s="419"/>
      <c r="VNH49" s="419"/>
      <c r="VNI49" s="419"/>
      <c r="VNJ49" s="419"/>
      <c r="VNK49" s="419"/>
      <c r="VNL49" s="419"/>
      <c r="VNM49" s="419"/>
      <c r="VNN49" s="419"/>
      <c r="VNO49" s="419"/>
      <c r="VNP49" s="419"/>
      <c r="VNQ49" s="419"/>
      <c r="VNR49" s="419"/>
      <c r="VNS49" s="419"/>
      <c r="VNT49" s="419"/>
      <c r="VNU49" s="419"/>
      <c r="VNV49" s="419"/>
      <c r="VNW49" s="419"/>
      <c r="VNX49" s="419"/>
      <c r="VNY49" s="419"/>
      <c r="VNZ49" s="419"/>
      <c r="VOA49" s="419"/>
      <c r="VOB49" s="419"/>
      <c r="VOC49" s="419"/>
      <c r="VOD49" s="419"/>
      <c r="VOE49" s="419"/>
      <c r="VOF49" s="419"/>
      <c r="VOG49" s="419"/>
      <c r="VOH49" s="419"/>
      <c r="VOI49" s="419"/>
      <c r="VOJ49" s="419"/>
      <c r="VOK49" s="419"/>
      <c r="VOL49" s="419"/>
      <c r="VOM49" s="419"/>
      <c r="VON49" s="419"/>
      <c r="VOO49" s="419"/>
      <c r="VOP49" s="419"/>
      <c r="VOQ49" s="419"/>
      <c r="VOR49" s="419"/>
      <c r="VOS49" s="419"/>
      <c r="VOT49" s="419"/>
      <c r="VOU49" s="419"/>
      <c r="VOV49" s="419"/>
      <c r="VOW49" s="419"/>
      <c r="VOX49" s="419"/>
      <c r="VOY49" s="419"/>
      <c r="VOZ49" s="419"/>
      <c r="VPA49" s="419"/>
      <c r="VPB49" s="419"/>
      <c r="VPC49" s="419"/>
      <c r="VPD49" s="419"/>
      <c r="VPE49" s="419"/>
      <c r="VPF49" s="419"/>
      <c r="VPG49" s="419"/>
      <c r="VPH49" s="419"/>
      <c r="VPI49" s="419"/>
      <c r="VPJ49" s="419"/>
      <c r="VPK49" s="419"/>
      <c r="VPL49" s="419"/>
      <c r="VPM49" s="419"/>
      <c r="VPN49" s="419"/>
      <c r="VPO49" s="419"/>
      <c r="VPP49" s="419"/>
      <c r="VPQ49" s="419"/>
      <c r="VPR49" s="419"/>
      <c r="VPS49" s="419"/>
      <c r="VPT49" s="419"/>
      <c r="VPU49" s="419"/>
      <c r="VPV49" s="419"/>
      <c r="VPW49" s="419"/>
      <c r="VPX49" s="419"/>
      <c r="VPY49" s="419"/>
      <c r="VPZ49" s="419"/>
      <c r="VQA49" s="419"/>
      <c r="VQB49" s="419"/>
      <c r="VQC49" s="419"/>
      <c r="VQD49" s="419"/>
      <c r="VQE49" s="419"/>
      <c r="VQF49" s="419"/>
      <c r="VQG49" s="419"/>
      <c r="VQH49" s="419"/>
      <c r="VQI49" s="419"/>
      <c r="VQJ49" s="419"/>
      <c r="VQK49" s="419"/>
      <c r="VQL49" s="419"/>
      <c r="VQM49" s="419"/>
      <c r="VQN49" s="419"/>
      <c r="VQO49" s="419"/>
      <c r="VQP49" s="419"/>
      <c r="VQQ49" s="419"/>
      <c r="VQR49" s="419"/>
      <c r="VQS49" s="419"/>
      <c r="VQT49" s="419"/>
      <c r="VQU49" s="419"/>
      <c r="VQV49" s="419"/>
      <c r="VQW49" s="419"/>
      <c r="VQX49" s="419"/>
      <c r="VQY49" s="419"/>
      <c r="VQZ49" s="419"/>
      <c r="VRA49" s="419"/>
      <c r="VRB49" s="419"/>
      <c r="VRC49" s="419"/>
      <c r="VRD49" s="419"/>
      <c r="VRE49" s="419"/>
      <c r="VRF49" s="419"/>
      <c r="VRG49" s="419"/>
      <c r="VRH49" s="419"/>
      <c r="VRI49" s="419"/>
      <c r="VRJ49" s="419"/>
      <c r="VRK49" s="419"/>
      <c r="VRL49" s="419"/>
      <c r="VRM49" s="419"/>
      <c r="VRN49" s="419"/>
      <c r="VRO49" s="419"/>
      <c r="VRP49" s="419"/>
      <c r="VRQ49" s="419"/>
      <c r="VRR49" s="419"/>
      <c r="VRS49" s="419"/>
      <c r="VRT49" s="419"/>
      <c r="VRU49" s="419"/>
      <c r="VRV49" s="419"/>
      <c r="VRW49" s="419"/>
      <c r="VRX49" s="419"/>
      <c r="VRY49" s="419"/>
      <c r="VRZ49" s="419"/>
      <c r="VSA49" s="419"/>
      <c r="VSB49" s="419"/>
      <c r="VSC49" s="419"/>
      <c r="VSD49" s="419"/>
      <c r="VSE49" s="419"/>
      <c r="VSF49" s="419"/>
      <c r="VSG49" s="419"/>
      <c r="VSH49" s="419"/>
      <c r="VSI49" s="419"/>
      <c r="VSJ49" s="419"/>
      <c r="VSK49" s="419"/>
      <c r="VSL49" s="419"/>
      <c r="VSM49" s="419"/>
      <c r="VSN49" s="419"/>
      <c r="VSO49" s="419"/>
      <c r="VSP49" s="419"/>
      <c r="VSQ49" s="419"/>
      <c r="VSR49" s="419"/>
      <c r="VSS49" s="419"/>
      <c r="VST49" s="419"/>
      <c r="VSU49" s="419"/>
      <c r="VSV49" s="419"/>
      <c r="VSW49" s="419"/>
      <c r="VSX49" s="419"/>
      <c r="VSY49" s="419"/>
      <c r="VSZ49" s="419"/>
      <c r="VTA49" s="419"/>
      <c r="VTB49" s="419"/>
      <c r="VTC49" s="419"/>
      <c r="VTD49" s="419"/>
      <c r="VTE49" s="419"/>
      <c r="VTF49" s="419"/>
      <c r="VTG49" s="419"/>
      <c r="VTH49" s="419"/>
      <c r="VTI49" s="419"/>
      <c r="VTJ49" s="419"/>
      <c r="VTK49" s="419"/>
      <c r="VTL49" s="419"/>
      <c r="VTM49" s="419"/>
      <c r="VTN49" s="419"/>
      <c r="VTO49" s="419"/>
      <c r="VTP49" s="419"/>
      <c r="VTQ49" s="419"/>
      <c r="VTR49" s="419"/>
      <c r="VTS49" s="419"/>
      <c r="VTT49" s="419"/>
      <c r="VTU49" s="419"/>
      <c r="VTV49" s="419"/>
      <c r="VTW49" s="419"/>
      <c r="VTX49" s="419"/>
      <c r="VTY49" s="419"/>
      <c r="VTZ49" s="419"/>
      <c r="VUA49" s="419"/>
      <c r="VUB49" s="419"/>
      <c r="VUC49" s="419"/>
      <c r="VUD49" s="419"/>
      <c r="VUE49" s="419"/>
      <c r="VUF49" s="419"/>
      <c r="VUG49" s="419"/>
      <c r="VUH49" s="419"/>
      <c r="VUI49" s="419"/>
      <c r="VUJ49" s="419"/>
      <c r="VUK49" s="419"/>
      <c r="VUL49" s="419"/>
      <c r="VUM49" s="419"/>
      <c r="VUN49" s="419"/>
      <c r="VUO49" s="419"/>
      <c r="VUP49" s="419"/>
      <c r="VUQ49" s="419"/>
      <c r="VUR49" s="419"/>
      <c r="VUS49" s="419"/>
      <c r="VUT49" s="419"/>
      <c r="VUU49" s="419"/>
      <c r="VUV49" s="419"/>
      <c r="VUW49" s="419"/>
      <c r="VUX49" s="419"/>
      <c r="VUY49" s="419"/>
      <c r="VUZ49" s="419"/>
      <c r="VVA49" s="419"/>
      <c r="VVB49" s="419"/>
      <c r="VVC49" s="419"/>
      <c r="VVD49" s="419"/>
      <c r="VVE49" s="419"/>
      <c r="VVF49" s="419"/>
      <c r="VVG49" s="419"/>
      <c r="VVH49" s="419"/>
      <c r="VVI49" s="419"/>
      <c r="VVJ49" s="419"/>
      <c r="VVK49" s="419"/>
      <c r="VVL49" s="419"/>
      <c r="VVM49" s="419"/>
      <c r="VVN49" s="419"/>
      <c r="VVO49" s="419"/>
      <c r="VVP49" s="419"/>
      <c r="VVQ49" s="419"/>
      <c r="VVR49" s="419"/>
      <c r="VVS49" s="419"/>
      <c r="VVT49" s="419"/>
      <c r="VVU49" s="419"/>
      <c r="VVV49" s="419"/>
      <c r="VVW49" s="419"/>
      <c r="VVX49" s="419"/>
      <c r="VVY49" s="419"/>
      <c r="VVZ49" s="419"/>
      <c r="VWA49" s="419"/>
      <c r="VWB49" s="419"/>
      <c r="VWC49" s="419"/>
      <c r="VWD49" s="419"/>
      <c r="VWE49" s="419"/>
      <c r="VWF49" s="419"/>
      <c r="VWG49" s="419"/>
      <c r="VWH49" s="419"/>
      <c r="VWI49" s="419"/>
      <c r="VWJ49" s="419"/>
      <c r="VWK49" s="419"/>
      <c r="VWL49" s="419"/>
      <c r="VWM49" s="419"/>
      <c r="VWN49" s="419"/>
      <c r="VWO49" s="419"/>
      <c r="VWP49" s="419"/>
      <c r="VWQ49" s="419"/>
      <c r="VWR49" s="419"/>
      <c r="VWS49" s="419"/>
      <c r="VWT49" s="419"/>
      <c r="VWU49" s="419"/>
      <c r="VWV49" s="419"/>
      <c r="VWW49" s="419"/>
      <c r="VWX49" s="419"/>
      <c r="VWY49" s="419"/>
      <c r="VWZ49" s="419"/>
      <c r="VXA49" s="419"/>
      <c r="VXB49" s="419"/>
      <c r="VXC49" s="419"/>
      <c r="VXD49" s="419"/>
      <c r="VXE49" s="419"/>
      <c r="VXF49" s="419"/>
      <c r="VXG49" s="419"/>
      <c r="VXH49" s="419"/>
      <c r="VXI49" s="419"/>
      <c r="VXJ49" s="419"/>
      <c r="VXK49" s="419"/>
      <c r="VXL49" s="419"/>
      <c r="VXM49" s="419"/>
      <c r="VXN49" s="419"/>
      <c r="VXO49" s="419"/>
      <c r="VXP49" s="419"/>
      <c r="VXQ49" s="419"/>
      <c r="VXR49" s="419"/>
      <c r="VXS49" s="419"/>
      <c r="VXT49" s="419"/>
      <c r="VXU49" s="419"/>
      <c r="VXV49" s="419"/>
      <c r="VXW49" s="419"/>
      <c r="VXX49" s="419"/>
      <c r="VXY49" s="419"/>
      <c r="VXZ49" s="419"/>
      <c r="VYA49" s="419"/>
      <c r="VYB49" s="419"/>
      <c r="VYC49" s="419"/>
      <c r="VYD49" s="419"/>
      <c r="VYE49" s="419"/>
      <c r="VYF49" s="419"/>
      <c r="VYG49" s="419"/>
      <c r="VYH49" s="419"/>
      <c r="VYI49" s="419"/>
      <c r="VYJ49" s="419"/>
      <c r="VYK49" s="419"/>
      <c r="VYL49" s="419"/>
      <c r="VYM49" s="419"/>
      <c r="VYN49" s="419"/>
      <c r="VYO49" s="419"/>
      <c r="VYP49" s="419"/>
      <c r="VYQ49" s="419"/>
      <c r="VYR49" s="419"/>
      <c r="VYS49" s="419"/>
      <c r="VYT49" s="419"/>
      <c r="VYU49" s="419"/>
      <c r="VYV49" s="419"/>
      <c r="VYW49" s="419"/>
      <c r="VYX49" s="419"/>
      <c r="VYY49" s="419"/>
      <c r="VYZ49" s="419"/>
      <c r="VZA49" s="419"/>
      <c r="VZB49" s="419"/>
      <c r="VZC49" s="419"/>
      <c r="VZD49" s="419"/>
      <c r="VZE49" s="419"/>
      <c r="VZF49" s="419"/>
      <c r="VZG49" s="419"/>
      <c r="VZH49" s="419"/>
      <c r="VZI49" s="419"/>
      <c r="VZJ49" s="419"/>
      <c r="VZK49" s="419"/>
      <c r="VZL49" s="419"/>
      <c r="VZM49" s="419"/>
      <c r="VZN49" s="419"/>
      <c r="VZO49" s="419"/>
      <c r="VZP49" s="419"/>
      <c r="VZQ49" s="419"/>
      <c r="VZR49" s="419"/>
      <c r="VZS49" s="419"/>
      <c r="VZT49" s="419"/>
      <c r="VZU49" s="419"/>
      <c r="VZV49" s="419"/>
      <c r="VZW49" s="419"/>
      <c r="VZX49" s="419"/>
      <c r="VZY49" s="419"/>
      <c r="VZZ49" s="419"/>
      <c r="WAA49" s="419"/>
      <c r="WAB49" s="419"/>
      <c r="WAC49" s="419"/>
      <c r="WAD49" s="419"/>
      <c r="WAE49" s="419"/>
      <c r="WAF49" s="419"/>
      <c r="WAG49" s="419"/>
      <c r="WAH49" s="419"/>
      <c r="WAI49" s="419"/>
      <c r="WAJ49" s="419"/>
      <c r="WAK49" s="419"/>
      <c r="WAL49" s="419"/>
      <c r="WAM49" s="419"/>
      <c r="WAN49" s="419"/>
      <c r="WAO49" s="419"/>
      <c r="WAP49" s="419"/>
      <c r="WAQ49" s="419"/>
      <c r="WAR49" s="419"/>
      <c r="WAS49" s="419"/>
      <c r="WAT49" s="419"/>
      <c r="WAU49" s="419"/>
      <c r="WAV49" s="419"/>
      <c r="WAW49" s="419"/>
      <c r="WAX49" s="419"/>
      <c r="WAY49" s="419"/>
      <c r="WAZ49" s="419"/>
      <c r="WBA49" s="419"/>
      <c r="WBB49" s="419"/>
      <c r="WBC49" s="419"/>
      <c r="WBD49" s="419"/>
      <c r="WBE49" s="419"/>
      <c r="WBF49" s="419"/>
      <c r="WBG49" s="419"/>
      <c r="WBH49" s="419"/>
      <c r="WBI49" s="419"/>
      <c r="WBJ49" s="419"/>
      <c r="WBK49" s="419"/>
      <c r="WBL49" s="419"/>
      <c r="WBM49" s="419"/>
      <c r="WBN49" s="419"/>
      <c r="WBO49" s="419"/>
      <c r="WBP49" s="419"/>
      <c r="WBQ49" s="419"/>
      <c r="WBR49" s="419"/>
      <c r="WBS49" s="419"/>
      <c r="WBT49" s="419"/>
      <c r="WBU49" s="419"/>
      <c r="WBV49" s="419"/>
      <c r="WBW49" s="419"/>
      <c r="WBX49" s="419"/>
      <c r="WBY49" s="419"/>
      <c r="WBZ49" s="419"/>
      <c r="WCA49" s="419"/>
      <c r="WCB49" s="419"/>
      <c r="WCC49" s="419"/>
      <c r="WCD49" s="419"/>
      <c r="WCE49" s="419"/>
      <c r="WCF49" s="419"/>
      <c r="WCG49" s="419"/>
      <c r="WCH49" s="419"/>
      <c r="WCI49" s="419"/>
      <c r="WCJ49" s="419"/>
      <c r="WCK49" s="419"/>
      <c r="WCL49" s="419"/>
      <c r="WCM49" s="419"/>
      <c r="WCN49" s="419"/>
      <c r="WCO49" s="419"/>
      <c r="WCP49" s="419"/>
      <c r="WCQ49" s="419"/>
      <c r="WCR49" s="419"/>
      <c r="WCS49" s="419"/>
      <c r="WCT49" s="419"/>
      <c r="WCU49" s="419"/>
      <c r="WCV49" s="419"/>
      <c r="WCW49" s="419"/>
      <c r="WCX49" s="419"/>
      <c r="WCY49" s="419"/>
      <c r="WCZ49" s="419"/>
      <c r="WDA49" s="419"/>
      <c r="WDB49" s="419"/>
      <c r="WDC49" s="419"/>
      <c r="WDD49" s="419"/>
      <c r="WDE49" s="419"/>
      <c r="WDF49" s="419"/>
      <c r="WDG49" s="419"/>
      <c r="WDH49" s="419"/>
      <c r="WDI49" s="419"/>
      <c r="WDJ49" s="419"/>
      <c r="WDK49" s="419"/>
      <c r="WDL49" s="419"/>
      <c r="WDM49" s="419"/>
      <c r="WDN49" s="419"/>
      <c r="WDO49" s="419"/>
      <c r="WDP49" s="419"/>
      <c r="WDQ49" s="419"/>
      <c r="WDR49" s="419"/>
      <c r="WDS49" s="419"/>
      <c r="WDT49" s="419"/>
      <c r="WDU49" s="419"/>
      <c r="WDV49" s="419"/>
      <c r="WDW49" s="419"/>
      <c r="WDX49" s="419"/>
      <c r="WDY49" s="419"/>
      <c r="WDZ49" s="419"/>
      <c r="WEA49" s="419"/>
      <c r="WEB49" s="419"/>
      <c r="WEC49" s="419"/>
      <c r="WED49" s="419"/>
      <c r="WEE49" s="419"/>
      <c r="WEF49" s="419"/>
      <c r="WEG49" s="419"/>
      <c r="WEH49" s="419"/>
      <c r="WEI49" s="419"/>
      <c r="WEJ49" s="419"/>
      <c r="WEK49" s="419"/>
      <c r="WEL49" s="419"/>
      <c r="WEM49" s="419"/>
      <c r="WEN49" s="419"/>
      <c r="WEO49" s="419"/>
      <c r="WEP49" s="419"/>
      <c r="WEQ49" s="419"/>
      <c r="WER49" s="419"/>
      <c r="WES49" s="419"/>
      <c r="WET49" s="419"/>
      <c r="WEU49" s="419"/>
      <c r="WEV49" s="419"/>
      <c r="WEW49" s="419"/>
      <c r="WEX49" s="419"/>
      <c r="WEY49" s="419"/>
      <c r="WEZ49" s="419"/>
      <c r="WFA49" s="419"/>
      <c r="WFB49" s="419"/>
      <c r="WFC49" s="419"/>
      <c r="WFD49" s="419"/>
      <c r="WFE49" s="419"/>
      <c r="WFF49" s="419"/>
      <c r="WFG49" s="419"/>
      <c r="WFH49" s="419"/>
      <c r="WFI49" s="419"/>
      <c r="WFJ49" s="419"/>
      <c r="WFK49" s="419"/>
      <c r="WFL49" s="419"/>
      <c r="WFM49" s="419"/>
      <c r="WFN49" s="419"/>
      <c r="WFO49" s="419"/>
      <c r="WFP49" s="419"/>
      <c r="WFQ49" s="419"/>
      <c r="WFR49" s="419"/>
      <c r="WFS49" s="419"/>
      <c r="WFT49" s="419"/>
      <c r="WFU49" s="419"/>
      <c r="WFV49" s="419"/>
      <c r="WFW49" s="419"/>
      <c r="WFX49" s="419"/>
      <c r="WFY49" s="419"/>
      <c r="WFZ49" s="419"/>
      <c r="WGA49" s="419"/>
      <c r="WGB49" s="419"/>
      <c r="WGC49" s="419"/>
      <c r="WGD49" s="419"/>
      <c r="WGE49" s="419"/>
      <c r="WGF49" s="419"/>
      <c r="WGG49" s="419"/>
      <c r="WGH49" s="419"/>
      <c r="WGI49" s="419"/>
      <c r="WGJ49" s="419"/>
      <c r="WGK49" s="419"/>
      <c r="WGL49" s="419"/>
      <c r="WGM49" s="419"/>
      <c r="WGN49" s="419"/>
      <c r="WGO49" s="419"/>
      <c r="WGP49" s="419"/>
      <c r="WGQ49" s="419"/>
      <c r="WGR49" s="419"/>
      <c r="WGS49" s="419"/>
      <c r="WGT49" s="419"/>
      <c r="WGU49" s="419"/>
      <c r="WGV49" s="419"/>
      <c r="WGW49" s="419"/>
      <c r="WGX49" s="419"/>
      <c r="WGY49" s="419"/>
      <c r="WGZ49" s="419"/>
      <c r="WHA49" s="419"/>
      <c r="WHB49" s="419"/>
      <c r="WHC49" s="419"/>
      <c r="WHD49" s="419"/>
      <c r="WHE49" s="419"/>
      <c r="WHF49" s="419"/>
      <c r="WHG49" s="419"/>
      <c r="WHH49" s="419"/>
      <c r="WHI49" s="419"/>
      <c r="WHJ49" s="419"/>
      <c r="WHK49" s="419"/>
      <c r="WHL49" s="419"/>
      <c r="WHM49" s="419"/>
      <c r="WHN49" s="419"/>
      <c r="WHO49" s="419"/>
      <c r="WHP49" s="419"/>
      <c r="WHQ49" s="419"/>
      <c r="WHR49" s="419"/>
      <c r="WHS49" s="419"/>
      <c r="WHT49" s="419"/>
      <c r="WHU49" s="419"/>
      <c r="WHV49" s="419"/>
      <c r="WHW49" s="419"/>
      <c r="WHX49" s="419"/>
      <c r="WHY49" s="419"/>
      <c r="WHZ49" s="419"/>
      <c r="WIA49" s="419"/>
      <c r="WIB49" s="419"/>
      <c r="WIC49" s="419"/>
      <c r="WID49" s="419"/>
      <c r="WIE49" s="419"/>
      <c r="WIF49" s="419"/>
      <c r="WIG49" s="419"/>
      <c r="WIH49" s="419"/>
      <c r="WII49" s="419"/>
      <c r="WIJ49" s="419"/>
      <c r="WIK49" s="419"/>
      <c r="WIL49" s="419"/>
      <c r="WIM49" s="419"/>
      <c r="WIN49" s="419"/>
      <c r="WIO49" s="419"/>
      <c r="WIP49" s="419"/>
      <c r="WIQ49" s="419"/>
      <c r="WIR49" s="419"/>
      <c r="WIS49" s="419"/>
      <c r="WIT49" s="419"/>
      <c r="WIU49" s="419"/>
      <c r="WIV49" s="419"/>
      <c r="WIW49" s="419"/>
      <c r="WIX49" s="419"/>
      <c r="WIY49" s="419"/>
      <c r="WIZ49" s="419"/>
      <c r="WJA49" s="419"/>
      <c r="WJB49" s="419"/>
      <c r="WJC49" s="419"/>
      <c r="WJD49" s="419"/>
      <c r="WJE49" s="419"/>
      <c r="WJF49" s="419"/>
      <c r="WJG49" s="419"/>
      <c r="WJH49" s="419"/>
      <c r="WJI49" s="419"/>
      <c r="WJJ49" s="419"/>
      <c r="WJK49" s="419"/>
      <c r="WJL49" s="419"/>
      <c r="WJM49" s="419"/>
      <c r="WJN49" s="419"/>
      <c r="WJO49" s="419"/>
      <c r="WJP49" s="419"/>
      <c r="WJQ49" s="419"/>
      <c r="WJR49" s="419"/>
      <c r="WJS49" s="419"/>
      <c r="WJT49" s="419"/>
      <c r="WJU49" s="419"/>
      <c r="WJV49" s="419"/>
      <c r="WJW49" s="419"/>
      <c r="WJX49" s="419"/>
      <c r="WJY49" s="419"/>
      <c r="WJZ49" s="419"/>
      <c r="WKA49" s="419"/>
      <c r="WKB49" s="419"/>
      <c r="WKC49" s="419"/>
      <c r="WKD49" s="419"/>
      <c r="WKE49" s="419"/>
      <c r="WKF49" s="419"/>
      <c r="WKG49" s="419"/>
      <c r="WKH49" s="419"/>
      <c r="WKI49" s="419"/>
      <c r="WKJ49" s="419"/>
      <c r="WKK49" s="419"/>
      <c r="WKL49" s="419"/>
      <c r="WKM49" s="419"/>
      <c r="WKN49" s="419"/>
      <c r="WKO49" s="419"/>
      <c r="WKP49" s="419"/>
      <c r="WKQ49" s="419"/>
      <c r="WKR49" s="419"/>
      <c r="WKS49" s="419"/>
      <c r="WKT49" s="419"/>
      <c r="WKU49" s="419"/>
      <c r="WKV49" s="419"/>
      <c r="WKW49" s="419"/>
      <c r="WKX49" s="419"/>
      <c r="WKY49" s="419"/>
      <c r="WKZ49" s="419"/>
      <c r="WLA49" s="419"/>
      <c r="WLB49" s="419"/>
      <c r="WLC49" s="419"/>
      <c r="WLD49" s="419"/>
      <c r="WLE49" s="419"/>
      <c r="WLF49" s="419"/>
      <c r="WLG49" s="419"/>
      <c r="WLH49" s="419"/>
      <c r="WLI49" s="419"/>
      <c r="WLJ49" s="419"/>
      <c r="WLK49" s="419"/>
      <c r="WLL49" s="419"/>
      <c r="WLM49" s="419"/>
      <c r="WLN49" s="419"/>
      <c r="WLO49" s="419"/>
      <c r="WLP49" s="419"/>
      <c r="WLQ49" s="419"/>
      <c r="WLR49" s="419"/>
      <c r="WLS49" s="419"/>
      <c r="WLT49" s="419"/>
      <c r="WLU49" s="419"/>
      <c r="WLV49" s="419"/>
      <c r="WLW49" s="419"/>
      <c r="WLX49" s="419"/>
      <c r="WLY49" s="419"/>
      <c r="WLZ49" s="419"/>
      <c r="WMA49" s="419"/>
      <c r="WMB49" s="419"/>
      <c r="WMC49" s="419"/>
      <c r="WMD49" s="419"/>
      <c r="WME49" s="419"/>
      <c r="WMF49" s="419"/>
      <c r="WMG49" s="419"/>
      <c r="WMH49" s="419"/>
      <c r="WMI49" s="419"/>
      <c r="WMJ49" s="419"/>
      <c r="WMK49" s="419"/>
      <c r="WML49" s="419"/>
      <c r="WMM49" s="419"/>
      <c r="WMN49" s="419"/>
      <c r="WMO49" s="419"/>
      <c r="WMP49" s="419"/>
      <c r="WMQ49" s="419"/>
      <c r="WMR49" s="419"/>
      <c r="WMS49" s="419"/>
      <c r="WMT49" s="419"/>
      <c r="WMU49" s="419"/>
      <c r="WMV49" s="419"/>
      <c r="WMW49" s="419"/>
      <c r="WMX49" s="419"/>
      <c r="WMY49" s="419"/>
      <c r="WMZ49" s="419"/>
      <c r="WNA49" s="419"/>
      <c r="WNB49" s="419"/>
      <c r="WNC49" s="419"/>
      <c r="WND49" s="419"/>
      <c r="WNE49" s="419"/>
      <c r="WNF49" s="419"/>
      <c r="WNG49" s="419"/>
      <c r="WNH49" s="419"/>
      <c r="WNI49" s="419"/>
      <c r="WNJ49" s="419"/>
      <c r="WNK49" s="419"/>
      <c r="WNL49" s="419"/>
      <c r="WNM49" s="419"/>
      <c r="WNN49" s="419"/>
      <c r="WNO49" s="419"/>
      <c r="WNP49" s="419"/>
      <c r="WNQ49" s="419"/>
      <c r="WNR49" s="419"/>
      <c r="WNS49" s="419"/>
      <c r="WNT49" s="419"/>
      <c r="WNU49" s="419"/>
      <c r="WNV49" s="419"/>
      <c r="WNW49" s="419"/>
      <c r="WNX49" s="419"/>
      <c r="WNY49" s="419"/>
      <c r="WNZ49" s="419"/>
      <c r="WOA49" s="419"/>
      <c r="WOB49" s="419"/>
      <c r="WOC49" s="419"/>
      <c r="WOD49" s="419"/>
      <c r="WOE49" s="419"/>
      <c r="WOF49" s="419"/>
      <c r="WOG49" s="419"/>
      <c r="WOH49" s="419"/>
      <c r="WOI49" s="419"/>
      <c r="WOJ49" s="419"/>
      <c r="WOK49" s="419"/>
      <c r="WOL49" s="419"/>
      <c r="WOM49" s="419"/>
      <c r="WON49" s="419"/>
      <c r="WOO49" s="419"/>
      <c r="WOP49" s="419"/>
      <c r="WOQ49" s="419"/>
      <c r="WOR49" s="419"/>
      <c r="WOS49" s="419"/>
      <c r="WOT49" s="419"/>
      <c r="WOU49" s="419"/>
      <c r="WOV49" s="419"/>
      <c r="WOW49" s="419"/>
      <c r="WOX49" s="419"/>
      <c r="WOY49" s="419"/>
      <c r="WOZ49" s="419"/>
      <c r="WPA49" s="419"/>
      <c r="WPB49" s="419"/>
      <c r="WPC49" s="419"/>
      <c r="WPD49" s="419"/>
      <c r="WPE49" s="419"/>
      <c r="WPF49" s="419"/>
      <c r="WPG49" s="419"/>
      <c r="WPH49" s="419"/>
      <c r="WPI49" s="419"/>
      <c r="WPJ49" s="419"/>
      <c r="WPK49" s="419"/>
      <c r="WPL49" s="419"/>
      <c r="WPM49" s="419"/>
      <c r="WPN49" s="419"/>
      <c r="WPO49" s="419"/>
      <c r="WPP49" s="419"/>
      <c r="WPQ49" s="419"/>
      <c r="WPR49" s="419"/>
      <c r="WPS49" s="419"/>
      <c r="WPT49" s="419"/>
      <c r="WPU49" s="419"/>
      <c r="WPV49" s="419"/>
      <c r="WPW49" s="419"/>
      <c r="WPX49" s="419"/>
      <c r="WPY49" s="419"/>
      <c r="WPZ49" s="419"/>
      <c r="WQA49" s="419"/>
      <c r="WQB49" s="419"/>
      <c r="WQC49" s="419"/>
      <c r="WQD49" s="419"/>
      <c r="WQE49" s="419"/>
      <c r="WQF49" s="419"/>
      <c r="WQG49" s="419"/>
      <c r="WQH49" s="419"/>
      <c r="WQI49" s="419"/>
      <c r="WQJ49" s="419"/>
      <c r="WQK49" s="419"/>
      <c r="WQL49" s="419"/>
      <c r="WQM49" s="419"/>
      <c r="WQN49" s="419"/>
      <c r="WQO49" s="419"/>
      <c r="WQP49" s="419"/>
      <c r="WQQ49" s="419"/>
      <c r="WQR49" s="419"/>
      <c r="WQS49" s="419"/>
      <c r="WQT49" s="419"/>
      <c r="WQU49" s="419"/>
      <c r="WQV49" s="419"/>
      <c r="WQW49" s="419"/>
      <c r="WQX49" s="419"/>
      <c r="WQY49" s="419"/>
      <c r="WQZ49" s="419"/>
      <c r="WRA49" s="419"/>
      <c r="WRB49" s="419"/>
      <c r="WRC49" s="419"/>
      <c r="WRD49" s="419"/>
      <c r="WRE49" s="419"/>
      <c r="WRF49" s="419"/>
      <c r="WRG49" s="419"/>
      <c r="WRH49" s="419"/>
      <c r="WRI49" s="419"/>
      <c r="WRJ49" s="419"/>
      <c r="WRK49" s="419"/>
      <c r="WRL49" s="419"/>
      <c r="WRM49" s="419"/>
      <c r="WRN49" s="419"/>
      <c r="WRO49" s="419"/>
      <c r="WRP49" s="419"/>
      <c r="WRQ49" s="419"/>
      <c r="WRR49" s="419"/>
      <c r="WRS49" s="419"/>
      <c r="WRT49" s="419"/>
      <c r="WRU49" s="419"/>
      <c r="WRV49" s="419"/>
      <c r="WRW49" s="419"/>
      <c r="WRX49" s="419"/>
      <c r="WRY49" s="419"/>
      <c r="WRZ49" s="419"/>
      <c r="WSA49" s="419"/>
      <c r="WSB49" s="419"/>
      <c r="WSC49" s="419"/>
      <c r="WSD49" s="419"/>
      <c r="WSE49" s="419"/>
      <c r="WSF49" s="419"/>
      <c r="WSG49" s="419"/>
      <c r="WSH49" s="419"/>
      <c r="WSI49" s="419"/>
      <c r="WSJ49" s="419"/>
      <c r="WSK49" s="419"/>
      <c r="WSL49" s="419"/>
      <c r="WSM49" s="419"/>
      <c r="WSN49" s="419"/>
      <c r="WSO49" s="419"/>
      <c r="WSP49" s="419"/>
      <c r="WSQ49" s="419"/>
      <c r="WSR49" s="419"/>
      <c r="WSS49" s="419"/>
      <c r="WST49" s="419"/>
      <c r="WSU49" s="419"/>
      <c r="WSV49" s="419"/>
      <c r="WSW49" s="419"/>
      <c r="WSX49" s="419"/>
      <c r="WSY49" s="419"/>
      <c r="WSZ49" s="419"/>
      <c r="WTA49" s="419"/>
      <c r="WTB49" s="419"/>
      <c r="WTC49" s="419"/>
      <c r="WTD49" s="419"/>
      <c r="WTE49" s="419"/>
      <c r="WTF49" s="419"/>
      <c r="WTG49" s="419"/>
      <c r="WTH49" s="419"/>
      <c r="WTI49" s="419"/>
      <c r="WTJ49" s="419"/>
      <c r="WTK49" s="419"/>
      <c r="WTL49" s="419"/>
      <c r="WTM49" s="419"/>
      <c r="WTN49" s="419"/>
      <c r="WTO49" s="419"/>
      <c r="WTP49" s="419"/>
      <c r="WTQ49" s="419"/>
      <c r="WTR49" s="419"/>
      <c r="WTS49" s="419"/>
      <c r="WTT49" s="419"/>
      <c r="WTU49" s="419"/>
      <c r="WTV49" s="419"/>
      <c r="WTW49" s="419"/>
      <c r="WTX49" s="419"/>
      <c r="WTY49" s="419"/>
      <c r="WTZ49" s="419"/>
      <c r="WUA49" s="419"/>
      <c r="WUB49" s="419"/>
      <c r="WUC49" s="419"/>
      <c r="WUD49" s="419"/>
      <c r="WUE49" s="419"/>
      <c r="WUF49" s="419"/>
      <c r="WUG49" s="419"/>
      <c r="WUH49" s="419"/>
      <c r="WUI49" s="419"/>
      <c r="WUJ49" s="419"/>
      <c r="WUK49" s="419"/>
      <c r="WUL49" s="419"/>
      <c r="WUM49" s="419"/>
      <c r="WUN49" s="419"/>
      <c r="WUO49" s="419"/>
      <c r="WUP49" s="419"/>
      <c r="WUQ49" s="419"/>
      <c r="WUR49" s="419"/>
      <c r="WUS49" s="419"/>
      <c r="WUT49" s="419"/>
      <c r="WUU49" s="419"/>
      <c r="WUV49" s="419"/>
      <c r="WUW49" s="419"/>
      <c r="WUX49" s="419"/>
      <c r="WUY49" s="419"/>
      <c r="WUZ49" s="419"/>
      <c r="WVA49" s="419"/>
      <c r="WVB49" s="419"/>
      <c r="WVC49" s="419"/>
      <c r="WVD49" s="419"/>
      <c r="WVE49" s="419"/>
      <c r="WVF49" s="419"/>
      <c r="WVG49" s="419"/>
      <c r="WVH49" s="419"/>
      <c r="WVI49" s="419"/>
      <c r="WVJ49" s="419"/>
      <c r="WVK49" s="419"/>
      <c r="WVL49" s="419"/>
      <c r="WVM49" s="419"/>
      <c r="WVN49" s="419"/>
      <c r="WVO49" s="419"/>
      <c r="WVP49" s="419"/>
      <c r="WVQ49" s="419"/>
      <c r="WVR49" s="419"/>
      <c r="WVS49" s="419"/>
      <c r="WVT49" s="419"/>
      <c r="WVU49" s="419"/>
      <c r="WVV49" s="419"/>
      <c r="WVW49" s="419"/>
      <c r="WVX49" s="419"/>
      <c r="WVY49" s="419"/>
      <c r="WVZ49" s="419"/>
      <c r="WWA49" s="419"/>
      <c r="WWB49" s="419"/>
      <c r="WWC49" s="419"/>
      <c r="WWD49" s="419"/>
      <c r="WWE49" s="419"/>
      <c r="WWF49" s="419"/>
      <c r="WWG49" s="419"/>
      <c r="WWH49" s="419"/>
      <c r="WWI49" s="419"/>
      <c r="WWJ49" s="419"/>
      <c r="WWK49" s="419"/>
      <c r="WWL49" s="419"/>
      <c r="WWM49" s="419"/>
      <c r="WWN49" s="419"/>
      <c r="WWO49" s="419"/>
      <c r="WWP49" s="419"/>
      <c r="WWQ49" s="419"/>
      <c r="WWR49" s="419"/>
      <c r="WWS49" s="419"/>
      <c r="WWT49" s="419"/>
      <c r="WWU49" s="419"/>
      <c r="WWV49" s="419"/>
      <c r="WWW49" s="419"/>
      <c r="WWX49" s="419"/>
      <c r="WWY49" s="419"/>
      <c r="WWZ49" s="419"/>
      <c r="WXA49" s="419"/>
      <c r="WXB49" s="419"/>
      <c r="WXC49" s="419"/>
      <c r="WXD49" s="419"/>
      <c r="WXE49" s="419"/>
      <c r="WXF49" s="419"/>
      <c r="WXG49" s="419"/>
      <c r="WXH49" s="419"/>
      <c r="WXI49" s="419"/>
      <c r="WXJ49" s="419"/>
      <c r="WXK49" s="419"/>
      <c r="WXL49" s="419"/>
      <c r="WXM49" s="419"/>
      <c r="WXN49" s="419"/>
      <c r="WXO49" s="419"/>
      <c r="WXP49" s="419"/>
      <c r="WXQ49" s="419"/>
      <c r="WXR49" s="419"/>
      <c r="WXS49" s="419"/>
      <c r="WXT49" s="419"/>
      <c r="WXU49" s="419"/>
      <c r="WXV49" s="419"/>
      <c r="WXW49" s="419"/>
      <c r="WXX49" s="419"/>
      <c r="WXY49" s="419"/>
      <c r="WXZ49" s="419"/>
      <c r="WYA49" s="419"/>
      <c r="WYB49" s="419"/>
      <c r="WYC49" s="419"/>
      <c r="WYD49" s="419"/>
      <c r="WYE49" s="419"/>
      <c r="WYF49" s="419"/>
      <c r="WYG49" s="419"/>
      <c r="WYH49" s="419"/>
      <c r="WYI49" s="419"/>
      <c r="WYJ49" s="419"/>
      <c r="WYK49" s="419"/>
      <c r="WYL49" s="419"/>
      <c r="WYM49" s="419"/>
      <c r="WYN49" s="419"/>
      <c r="WYO49" s="419"/>
      <c r="WYP49" s="419"/>
      <c r="WYQ49" s="419"/>
      <c r="WYR49" s="419"/>
      <c r="WYS49" s="419"/>
      <c r="WYT49" s="419"/>
      <c r="WYU49" s="419"/>
      <c r="WYV49" s="419"/>
      <c r="WYW49" s="419"/>
      <c r="WYX49" s="419"/>
      <c r="WYY49" s="419"/>
      <c r="WYZ49" s="419"/>
      <c r="WZA49" s="419"/>
      <c r="WZB49" s="419"/>
      <c r="WZC49" s="419"/>
      <c r="WZD49" s="419"/>
      <c r="WZE49" s="419"/>
      <c r="WZF49" s="419"/>
      <c r="WZG49" s="419"/>
      <c r="WZH49" s="419"/>
      <c r="WZI49" s="419"/>
      <c r="WZJ49" s="419"/>
      <c r="WZK49" s="419"/>
      <c r="WZL49" s="419"/>
      <c r="WZM49" s="419"/>
      <c r="WZN49" s="419"/>
      <c r="WZO49" s="419"/>
      <c r="WZP49" s="419"/>
      <c r="WZQ49" s="419"/>
      <c r="WZR49" s="419"/>
      <c r="WZS49" s="419"/>
      <c r="WZT49" s="419"/>
      <c r="WZU49" s="419"/>
      <c r="WZV49" s="419"/>
      <c r="WZW49" s="419"/>
      <c r="WZX49" s="419"/>
      <c r="WZY49" s="419"/>
      <c r="WZZ49" s="419"/>
      <c r="XAA49" s="419"/>
      <c r="XAB49" s="419"/>
      <c r="XAC49" s="419"/>
      <c r="XAD49" s="419"/>
      <c r="XAE49" s="419"/>
      <c r="XAF49" s="419"/>
      <c r="XAG49" s="419"/>
      <c r="XAH49" s="419"/>
      <c r="XAI49" s="419"/>
      <c r="XAJ49" s="419"/>
      <c r="XAK49" s="419"/>
      <c r="XAL49" s="419"/>
      <c r="XAM49" s="419"/>
      <c r="XAN49" s="419"/>
      <c r="XAO49" s="419"/>
      <c r="XAP49" s="419"/>
      <c r="XAQ49" s="419"/>
      <c r="XAR49" s="419"/>
      <c r="XAS49" s="419"/>
      <c r="XAT49" s="419"/>
      <c r="XAU49" s="419"/>
      <c r="XAV49" s="419"/>
      <c r="XAW49" s="419"/>
      <c r="XAX49" s="419"/>
      <c r="XAY49" s="419"/>
      <c r="XAZ49" s="419"/>
      <c r="XBA49" s="419"/>
      <c r="XBB49" s="419"/>
      <c r="XBC49" s="419"/>
      <c r="XBD49" s="419"/>
      <c r="XBE49" s="419"/>
      <c r="XBF49" s="419"/>
      <c r="XBG49" s="419"/>
      <c r="XBH49" s="419"/>
      <c r="XBI49" s="419"/>
      <c r="XBJ49" s="419"/>
      <c r="XBK49" s="419"/>
      <c r="XBL49" s="419"/>
      <c r="XBM49" s="419"/>
      <c r="XBN49" s="419"/>
      <c r="XBO49" s="419"/>
      <c r="XBP49" s="419"/>
      <c r="XBQ49" s="419"/>
      <c r="XBR49" s="419"/>
      <c r="XBS49" s="419"/>
      <c r="XBT49" s="419"/>
      <c r="XBU49" s="419"/>
      <c r="XBV49" s="419"/>
      <c r="XBW49" s="419"/>
      <c r="XBX49" s="419"/>
      <c r="XBY49" s="419"/>
      <c r="XBZ49" s="419"/>
      <c r="XCA49" s="419"/>
      <c r="XCB49" s="419"/>
      <c r="XCC49" s="419"/>
      <c r="XCD49" s="419"/>
      <c r="XCE49" s="419"/>
      <c r="XCF49" s="419"/>
      <c r="XCG49" s="419"/>
      <c r="XCH49" s="419"/>
      <c r="XCI49" s="419"/>
      <c r="XCJ49" s="419"/>
      <c r="XCK49" s="419"/>
      <c r="XCL49" s="419"/>
      <c r="XCM49" s="419"/>
      <c r="XCN49" s="419"/>
      <c r="XCO49" s="419"/>
      <c r="XCP49" s="419"/>
      <c r="XCQ49" s="419"/>
      <c r="XCR49" s="419"/>
      <c r="XCS49" s="419"/>
      <c r="XCT49" s="419"/>
      <c r="XCU49" s="419"/>
      <c r="XCV49" s="419"/>
      <c r="XCW49" s="419"/>
      <c r="XCX49" s="419"/>
      <c r="XCY49" s="419"/>
      <c r="XCZ49" s="419"/>
      <c r="XDA49" s="419"/>
      <c r="XDB49" s="419"/>
      <c r="XDC49" s="419"/>
      <c r="XDD49" s="419"/>
      <c r="XDE49" s="419"/>
      <c r="XDF49" s="419"/>
      <c r="XDG49" s="419"/>
      <c r="XDH49" s="419"/>
      <c r="XDI49" s="419"/>
      <c r="XDJ49" s="419"/>
      <c r="XDK49" s="419"/>
      <c r="XDL49" s="419"/>
      <c r="XDM49" s="419"/>
      <c r="XDN49" s="419"/>
      <c r="XDO49" s="419"/>
      <c r="XDP49" s="419"/>
      <c r="XDQ49" s="419"/>
      <c r="XDR49" s="419"/>
      <c r="XDS49" s="419"/>
      <c r="XDT49" s="419"/>
      <c r="XDU49" s="419"/>
      <c r="XDV49" s="419"/>
      <c r="XDW49" s="419"/>
      <c r="XDX49" s="419"/>
      <c r="XDY49" s="419"/>
      <c r="XDZ49" s="419"/>
      <c r="XEA49" s="419"/>
      <c r="XEB49" s="419"/>
      <c r="XEC49" s="419"/>
      <c r="XED49" s="419"/>
      <c r="XEE49" s="419"/>
      <c r="XEF49" s="419"/>
      <c r="XEG49" s="419"/>
      <c r="XEH49" s="419"/>
      <c r="XEI49" s="419"/>
      <c r="XEJ49" s="419"/>
      <c r="XEK49" s="419"/>
      <c r="XEL49" s="419"/>
      <c r="XEM49" s="419"/>
      <c r="XEN49" s="419"/>
      <c r="XEO49" s="419"/>
      <c r="XEP49" s="419"/>
      <c r="XEQ49" s="419"/>
      <c r="XER49" s="419"/>
      <c r="XES49" s="419"/>
      <c r="XET49" s="419"/>
      <c r="XEU49" s="419"/>
      <c r="XEV49" s="419"/>
      <c r="XEW49" s="419"/>
      <c r="XEX49" s="419"/>
      <c r="XEY49" s="419"/>
      <c r="XEZ49" s="419"/>
      <c r="XFA49" s="419"/>
      <c r="XFB49" s="419"/>
      <c r="XFC49" s="419"/>
      <c r="XFD49" s="419"/>
    </row>
    <row r="50" spans="1:16384" ht="12.75" customHeight="1" x14ac:dyDescent="0.25">
      <c r="A50" s="317"/>
      <c r="B50" s="310"/>
      <c r="C50" s="306" t="s">
        <v>401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ROUND((VLOOKUP($J$17+J22+J25+J26+J27+J28+J39+J40+J41+J46+J47+J48+J49+J50,TabelLøn,StartkolonneNyLøn,1)-VLOOKUP($J$17+J22+J25+J26+J27+J28+J39+J40+J41+J46+J47+J48+J49,TabelLøn,StartkolonneNyLøn,1))*BeskGradNyLøn,2)</f>
        <v>0</v>
      </c>
      <c r="M50" s="313">
        <f t="shared" si="8"/>
        <v>0</v>
      </c>
      <c r="N50" s="322"/>
      <c r="O50" s="322"/>
      <c r="P50" s="322"/>
      <c r="Q50" s="322"/>
      <c r="S50" s="675"/>
      <c r="T50" s="676"/>
      <c r="U50" s="676"/>
      <c r="V50" s="676"/>
      <c r="W50" s="676"/>
      <c r="X50" s="676"/>
      <c r="Y50" s="676"/>
      <c r="Z50" s="676"/>
      <c r="AA50" s="676"/>
      <c r="AB50" s="676"/>
      <c r="AC50" s="676"/>
      <c r="AD50" s="677"/>
      <c r="AG50" s="448"/>
      <c r="AH50" s="444"/>
      <c r="AI50" s="446"/>
      <c r="AK50" s="367"/>
      <c r="AL50" s="367"/>
    </row>
    <row r="51" spans="1:16384" ht="12.75" customHeight="1" x14ac:dyDescent="0.25">
      <c r="A51" s="619"/>
      <c r="B51" s="310"/>
      <c r="C51" s="306" t="s">
        <v>401</v>
      </c>
      <c r="D51" s="310"/>
      <c r="E51" s="310"/>
      <c r="F51" s="310"/>
      <c r="G51" s="310"/>
      <c r="H51" s="310"/>
      <c r="I51" s="418"/>
      <c r="J51" s="323"/>
      <c r="K51" s="308"/>
      <c r="L51" s="312">
        <f>ROUND((VLOOKUP($J$17+J22+J25+J26+J27+J28+J39+J40+J41+J46+J47+J48+J49+J50+J51,TabelLøn,StartkolonneNyLøn,1)-VLOOKUP($J$17+J22+J25+J26+J27+J28+J39+J40+J41+J46+J47+J48+J49+J50,TabelLøn,StartkolonneNyLøn,1))*BeskGradNyLøn,2)</f>
        <v>0</v>
      </c>
      <c r="M51" s="313">
        <f t="shared" si="8"/>
        <v>0</v>
      </c>
      <c r="N51" s="322"/>
      <c r="O51" s="322"/>
      <c r="P51" s="322"/>
      <c r="Q51" s="322"/>
      <c r="S51" s="616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8"/>
      <c r="AG51" s="448"/>
      <c r="AH51" s="444"/>
      <c r="AI51" s="446"/>
      <c r="AK51" s="367"/>
      <c r="AL51" s="367"/>
    </row>
    <row r="52" spans="1:16384" ht="12.75" customHeight="1" x14ac:dyDescent="0.25">
      <c r="A52" s="317"/>
      <c r="B52" s="310"/>
      <c r="C52" s="306" t="s">
        <v>482</v>
      </c>
      <c r="D52" s="310"/>
      <c r="E52" s="310"/>
      <c r="F52" s="310"/>
      <c r="G52" s="310"/>
      <c r="H52" s="318"/>
      <c r="I52" s="316"/>
      <c r="J52" s="422"/>
      <c r="K52" s="308"/>
      <c r="L52" s="312">
        <f>IF(P52=1,ROUND(I52/12*BeskGradNyLøn*(1+PctRegNyLøn%),2),(ROUND((1+PctRegNyLøn%)*I52/12,2)))</f>
        <v>0</v>
      </c>
      <c r="M52" s="313">
        <f t="shared" si="8"/>
        <v>0</v>
      </c>
      <c r="N52" s="322"/>
      <c r="O52" s="596"/>
      <c r="P52" s="592">
        <f t="shared" ref="P52:P56" si="9">IF(O52="x",0,1)</f>
        <v>1</v>
      </c>
      <c r="Q52" s="322"/>
      <c r="S52" s="675"/>
      <c r="T52" s="676"/>
      <c r="U52" s="676"/>
      <c r="V52" s="676"/>
      <c r="W52" s="676"/>
      <c r="X52" s="676"/>
      <c r="Y52" s="676"/>
      <c r="Z52" s="676"/>
      <c r="AA52" s="676"/>
      <c r="AB52" s="676"/>
      <c r="AC52" s="676"/>
      <c r="AD52" s="677"/>
      <c r="AG52" s="658" t="e">
        <f>+VLOOKUP(Y13,Vejledning!A:AP,38,1)</f>
        <v>#N/A</v>
      </c>
      <c r="AH52" s="658"/>
      <c r="AI52" s="669" t="e">
        <f>+VLOOKUP(Y13,Vejledning!A:AP,39,1)</f>
        <v>#N/A</v>
      </c>
      <c r="AJ52" s="669"/>
      <c r="AK52" s="367"/>
      <c r="AL52" s="367"/>
    </row>
    <row r="53" spans="1:16384" ht="12.75" hidden="1" customHeight="1" x14ac:dyDescent="0.25">
      <c r="A53" s="619"/>
      <c r="B53" s="310"/>
      <c r="C53" s="306"/>
      <c r="D53" s="310"/>
      <c r="E53" s="310"/>
      <c r="F53" s="310"/>
      <c r="G53" s="310"/>
      <c r="H53" s="318"/>
      <c r="I53" s="316"/>
      <c r="J53" s="423"/>
      <c r="K53" s="308"/>
      <c r="L53" s="312"/>
      <c r="M53" s="313"/>
      <c r="N53" s="322"/>
      <c r="O53" s="596"/>
      <c r="P53" s="592"/>
      <c r="Q53" s="322"/>
      <c r="S53" s="616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8"/>
      <c r="AG53" s="620"/>
      <c r="AH53" s="620"/>
      <c r="AI53" s="621"/>
      <c r="AJ53" s="621"/>
      <c r="AK53" s="367"/>
      <c r="AL53" s="367"/>
    </row>
    <row r="54" spans="1:16384" ht="12.75" customHeight="1" x14ac:dyDescent="0.25">
      <c r="A54" s="317"/>
      <c r="B54" s="310"/>
      <c r="C54" s="306" t="s">
        <v>482</v>
      </c>
      <c r="D54" s="310"/>
      <c r="E54" s="310"/>
      <c r="F54" s="310"/>
      <c r="G54" s="310"/>
      <c r="H54" s="318"/>
      <c r="I54" s="316"/>
      <c r="J54" s="423"/>
      <c r="K54" s="308"/>
      <c r="L54" s="312">
        <f>IF(P54=1,ROUND(I54/12*BeskGradNyLøn*(1+PctRegNyLøn%),2),(ROUND((1+PctRegNyLøn%)*I54/12,2)))</f>
        <v>0</v>
      </c>
      <c r="M54" s="313">
        <f t="shared" si="6"/>
        <v>0</v>
      </c>
      <c r="N54" s="322"/>
      <c r="O54" s="596"/>
      <c r="P54" s="592">
        <f t="shared" si="9"/>
        <v>1</v>
      </c>
      <c r="Q54" s="322"/>
      <c r="S54" s="675"/>
      <c r="T54" s="676"/>
      <c r="U54" s="676"/>
      <c r="V54" s="676"/>
      <c r="W54" s="676"/>
      <c r="X54" s="676"/>
      <c r="Y54" s="676"/>
      <c r="Z54" s="676"/>
      <c r="AA54" s="676"/>
      <c r="AB54" s="676"/>
      <c r="AC54" s="676"/>
      <c r="AD54" s="677"/>
      <c r="AG54" s="451"/>
      <c r="AH54" s="451"/>
      <c r="AI54" s="446"/>
      <c r="AK54" s="367"/>
      <c r="AL54" s="367"/>
    </row>
    <row r="55" spans="1:16384" ht="12.75" customHeight="1" x14ac:dyDescent="0.25">
      <c r="A55" s="317"/>
      <c r="B55" s="310"/>
      <c r="C55" s="306" t="s">
        <v>482</v>
      </c>
      <c r="D55" s="310"/>
      <c r="E55" s="310"/>
      <c r="F55" s="310"/>
      <c r="G55" s="310"/>
      <c r="H55" s="318"/>
      <c r="I55" s="316"/>
      <c r="J55" s="423"/>
      <c r="K55" s="308"/>
      <c r="L55" s="312">
        <f>IF(P55=1,ROUND(I55/12*BeskGradNyLøn*(1+PctRegNyLøn%),2),(ROUND((1+PctRegNyLøn%)*I55/12,2)))</f>
        <v>0</v>
      </c>
      <c r="M55" s="313">
        <f>L55*12</f>
        <v>0</v>
      </c>
      <c r="N55" s="322"/>
      <c r="O55" s="596"/>
      <c r="P55" s="592">
        <f t="shared" si="9"/>
        <v>1</v>
      </c>
      <c r="Q55" s="322"/>
      <c r="S55" s="675"/>
      <c r="T55" s="676"/>
      <c r="U55" s="676"/>
      <c r="V55" s="676"/>
      <c r="W55" s="676"/>
      <c r="X55" s="676"/>
      <c r="Y55" s="676"/>
      <c r="Z55" s="676"/>
      <c r="AA55" s="676"/>
      <c r="AB55" s="676"/>
      <c r="AC55" s="676"/>
      <c r="AD55" s="677"/>
      <c r="AG55" s="658" t="e">
        <f>+VLOOKUP(Y13,Vejledning!A:AP,40,1)</f>
        <v>#N/A</v>
      </c>
      <c r="AH55" s="658"/>
      <c r="AI55" s="669" t="e">
        <f>+VLOOKUP(Y13,Vejledning!A:AP,41,1)</f>
        <v>#N/A</v>
      </c>
      <c r="AJ55" s="669"/>
      <c r="AK55" s="367"/>
      <c r="AL55" s="367"/>
    </row>
    <row r="56" spans="1:16384" ht="12.75" customHeight="1" x14ac:dyDescent="0.25">
      <c r="A56" s="317"/>
      <c r="B56" s="310"/>
      <c r="C56" s="306" t="s">
        <v>482</v>
      </c>
      <c r="D56" s="310"/>
      <c r="E56" s="310"/>
      <c r="F56" s="310"/>
      <c r="G56" s="310"/>
      <c r="H56" s="318"/>
      <c r="I56" s="316"/>
      <c r="J56" s="423"/>
      <c r="K56" s="308"/>
      <c r="L56" s="312">
        <f>IF(P56=1,ROUND(I56/12*BeskGradNyLøn*(1+PctRegNyLøn%),2),(ROUND((1+PctRegNyLøn%)*I56/12,2)))</f>
        <v>0</v>
      </c>
      <c r="M56" s="313">
        <f t="shared" si="6"/>
        <v>0</v>
      </c>
      <c r="N56" s="322"/>
      <c r="O56" s="596"/>
      <c r="P56" s="592">
        <f t="shared" si="9"/>
        <v>1</v>
      </c>
      <c r="Q56" s="322"/>
      <c r="S56" s="675"/>
      <c r="T56" s="676"/>
      <c r="U56" s="676"/>
      <c r="V56" s="676"/>
      <c r="W56" s="676"/>
      <c r="X56" s="676"/>
      <c r="Y56" s="676"/>
      <c r="Z56" s="676"/>
      <c r="AA56" s="676"/>
      <c r="AB56" s="676"/>
      <c r="AC56" s="676"/>
      <c r="AD56" s="677"/>
      <c r="AG56" s="451"/>
      <c r="AH56" s="451"/>
      <c r="AI56" s="669"/>
      <c r="AJ56" s="669"/>
      <c r="AK56" s="367"/>
      <c r="AL56" s="367"/>
    </row>
    <row r="57" spans="1:16384" ht="6" customHeight="1" x14ac:dyDescent="0.25">
      <c r="A57" s="317"/>
      <c r="B57" s="310"/>
      <c r="C57" s="306"/>
      <c r="D57" s="306"/>
      <c r="E57" s="306"/>
      <c r="F57" s="306"/>
      <c r="G57" s="306"/>
      <c r="H57" s="306"/>
      <c r="I57" s="306"/>
      <c r="J57" s="331"/>
      <c r="K57" s="308"/>
      <c r="L57" s="306"/>
      <c r="M57" s="306"/>
      <c r="N57" s="306"/>
      <c r="O57" s="306"/>
      <c r="P57" s="306"/>
      <c r="Q57" s="306"/>
      <c r="R57" s="306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G57" s="451"/>
      <c r="AH57" s="451"/>
      <c r="AI57" s="446"/>
      <c r="AK57" s="367"/>
      <c r="AL57" s="367"/>
    </row>
    <row r="58" spans="1:16384" ht="12.75" customHeight="1" x14ac:dyDescent="0.25">
      <c r="A58" s="598"/>
      <c r="B58" s="599" t="s">
        <v>483</v>
      </c>
      <c r="C58" s="600"/>
      <c r="D58" s="600"/>
      <c r="E58" s="600"/>
      <c r="F58" s="600"/>
      <c r="G58" s="600"/>
      <c r="H58" s="601"/>
      <c r="I58" s="316"/>
      <c r="J58" s="323"/>
      <c r="K58" s="308"/>
      <c r="L58" s="312">
        <f>IF(P58=1,ROUND(I58/12*BeskGradNyLøn*(1+PctRegNyLøn%),2),(ROUND((1+PctRegNyLøn%)*I58/12,2)))+ROUND((VLOOKUP($J$17+J22+J25+J26+J27+J28+J39+J40+J41+J46+J47+J48+J50+J58,TabelLøn,StartkolonneNyLøn,1)-VLOOKUP($J$17+J22+J25+J26+J27+J28+J39+J40+J41+J46+J47+J48+J50,TabelLøn,StartkolonneNyLøn,1))*BeskGradNyLøn,2)</f>
        <v>0</v>
      </c>
      <c r="M58" s="313">
        <f t="shared" si="6"/>
        <v>0</v>
      </c>
      <c r="N58" s="322"/>
      <c r="O58" s="596" t="s">
        <v>7</v>
      </c>
      <c r="P58" s="592">
        <f t="shared" ref="P58:P59" si="10">IF(O58="x",0,1)</f>
        <v>1</v>
      </c>
      <c r="Q58" s="322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G58" s="658" t="e">
        <f>+VLOOKUP(Y13,Vejledning!A:AP,42,1)</f>
        <v>#N/A</v>
      </c>
      <c r="AH58" s="658"/>
      <c r="AI58" s="669" t="e">
        <f>+VLOOKUP(Y13,Vejledning!A:AS,43,1)</f>
        <v>#N/A</v>
      </c>
      <c r="AJ58" s="669"/>
      <c r="AK58" s="367"/>
      <c r="AL58" s="367"/>
    </row>
    <row r="59" spans="1:16384" ht="12.75" customHeight="1" x14ac:dyDescent="0.25">
      <c r="A59" s="598"/>
      <c r="B59" s="599" t="s">
        <v>484</v>
      </c>
      <c r="C59" s="600"/>
      <c r="D59" s="600"/>
      <c r="E59" s="600"/>
      <c r="F59" s="600"/>
      <c r="G59" s="600"/>
      <c r="H59" s="601"/>
      <c r="I59" s="316"/>
      <c r="J59" s="423"/>
      <c r="K59" s="308"/>
      <c r="L59" s="312">
        <f>IF(P59=1,ROUND(I59/12*BeskGradNyLøn*(1+PctRegNyLøn%),2),(ROUND((1+PctRegNyLøn%)*I59/12,2)))</f>
        <v>0</v>
      </c>
      <c r="M59" s="313">
        <f>L59*12</f>
        <v>0</v>
      </c>
      <c r="N59" s="322"/>
      <c r="O59" s="596" t="s">
        <v>7</v>
      </c>
      <c r="P59" s="592">
        <f t="shared" si="10"/>
        <v>1</v>
      </c>
      <c r="Q59" s="322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G59" s="444"/>
      <c r="AH59" s="451"/>
      <c r="AI59" s="669"/>
      <c r="AJ59" s="669"/>
      <c r="AK59" s="367"/>
      <c r="AL59" s="367"/>
    </row>
    <row r="60" spans="1:16384" ht="6" customHeight="1" x14ac:dyDescent="0.25">
      <c r="A60" s="598"/>
      <c r="B60" s="310"/>
      <c r="C60" s="306"/>
      <c r="D60" s="306"/>
      <c r="E60" s="306"/>
      <c r="F60" s="306"/>
      <c r="G60" s="306"/>
      <c r="H60" s="306"/>
      <c r="I60" s="306"/>
      <c r="J60" s="331"/>
      <c r="K60" s="308"/>
      <c r="L60" s="306"/>
      <c r="M60" s="306"/>
      <c r="N60" s="306"/>
      <c r="O60" s="306"/>
      <c r="P60" s="306"/>
      <c r="Q60" s="306"/>
      <c r="R60" s="306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G60" s="451"/>
      <c r="AH60" s="451"/>
      <c r="AI60" s="446"/>
      <c r="AK60" s="367"/>
      <c r="AL60" s="367"/>
    </row>
    <row r="61" spans="1:16384" ht="12.75" customHeight="1" x14ac:dyDescent="0.25">
      <c r="A61" s="598"/>
      <c r="B61" s="599" t="s">
        <v>485</v>
      </c>
      <c r="C61" s="600"/>
      <c r="D61" s="600"/>
      <c r="E61" s="600"/>
      <c r="F61" s="600"/>
      <c r="G61" s="600"/>
      <c r="H61" s="601"/>
      <c r="I61" s="316"/>
      <c r="J61" s="423"/>
      <c r="K61" s="308"/>
      <c r="L61" s="312">
        <f>IF(P61=1,ROUND(I61/12*BeskGradNyLøn*(1+PctRegNyLøn%),2),(ROUND((1+PctRegNyLøn%)*I61/12,2)))</f>
        <v>0</v>
      </c>
      <c r="M61" s="313">
        <f>L61*12</f>
        <v>0</v>
      </c>
      <c r="N61" s="322"/>
      <c r="O61" s="596"/>
      <c r="P61" s="592">
        <f t="shared" ref="P61" si="11">IF(O61="x",0,1)</f>
        <v>1</v>
      </c>
      <c r="Q61" s="322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G61" s="658"/>
      <c r="AH61" s="658"/>
      <c r="AI61" s="446"/>
      <c r="AK61" s="367"/>
      <c r="AL61" s="367"/>
    </row>
    <row r="62" spans="1:16384" ht="12.75" customHeight="1" x14ac:dyDescent="0.25">
      <c r="A62" s="598"/>
      <c r="B62" s="310"/>
      <c r="C62" s="306"/>
      <c r="D62" s="306"/>
      <c r="E62" s="306"/>
      <c r="F62" s="306"/>
      <c r="G62" s="306"/>
      <c r="H62" s="306"/>
      <c r="I62" s="306"/>
      <c r="J62" s="331"/>
      <c r="K62" s="308"/>
      <c r="L62" s="306"/>
      <c r="M62" s="306"/>
      <c r="N62" s="306"/>
      <c r="O62" s="306"/>
      <c r="P62" s="306"/>
      <c r="Q62" s="306"/>
      <c r="R62" s="306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G62" s="451"/>
      <c r="AH62" s="451"/>
      <c r="AI62" s="446"/>
      <c r="AK62" s="367"/>
      <c r="AL62" s="367"/>
    </row>
    <row r="63" spans="1:16384" ht="12.75" customHeight="1" x14ac:dyDescent="0.25">
      <c r="A63" s="598"/>
      <c r="B63" s="600" t="s">
        <v>411</v>
      </c>
      <c r="C63" s="320"/>
      <c r="D63" s="320"/>
      <c r="E63" s="320"/>
      <c r="F63" s="320"/>
      <c r="G63" s="320"/>
      <c r="H63" s="321"/>
      <c r="I63" s="360">
        <f>SUM(I17:I61)</f>
        <v>0</v>
      </c>
      <c r="J63" s="361">
        <f>SUM(J17:J61)</f>
        <v>0</v>
      </c>
      <c r="K63" s="308"/>
      <c r="L63" s="344">
        <f>SUM(L17:L61)</f>
        <v>0</v>
      </c>
      <c r="M63" s="313">
        <f>SUM(M17:M61)</f>
        <v>0</v>
      </c>
      <c r="N63" s="322"/>
      <c r="O63" s="322"/>
      <c r="P63" s="322"/>
      <c r="Q63" s="322"/>
      <c r="U63" s="319"/>
      <c r="V63" s="319"/>
      <c r="AG63" s="658" t="e">
        <f>+VLOOKUP(Y13,Vejledning!A:AR,44,1)</f>
        <v>#N/A</v>
      </c>
      <c r="AH63" s="451"/>
      <c r="AI63" s="669" t="e">
        <f>+VLOOKUP(Y13,Vejledning!A:AS,45,1)</f>
        <v>#N/A</v>
      </c>
      <c r="AJ63" s="669"/>
      <c r="AK63" s="367"/>
      <c r="AL63" s="367"/>
    </row>
    <row r="64" spans="1:16384" ht="6" customHeight="1" x14ac:dyDescent="0.25">
      <c r="A64" s="317"/>
      <c r="B64" s="310"/>
      <c r="C64" s="306"/>
      <c r="D64" s="306"/>
      <c r="E64" s="306"/>
      <c r="F64" s="306"/>
      <c r="G64" s="306"/>
      <c r="H64" s="306"/>
      <c r="I64" s="306"/>
      <c r="J64" s="331"/>
      <c r="K64" s="308"/>
      <c r="L64" s="306"/>
      <c r="M64" s="306"/>
      <c r="N64" s="306"/>
      <c r="O64" s="306"/>
      <c r="P64" s="306"/>
      <c r="Q64" s="306"/>
      <c r="R64" s="306"/>
      <c r="S64" s="335"/>
      <c r="T64" s="335"/>
      <c r="U64" s="319"/>
      <c r="V64" s="319"/>
      <c r="W64" s="335"/>
      <c r="X64" s="335"/>
      <c r="Y64" s="335"/>
      <c r="Z64" s="335"/>
      <c r="AA64" s="335"/>
      <c r="AB64" s="335"/>
      <c r="AC64" s="335"/>
      <c r="AD64" s="335"/>
      <c r="AG64" s="658"/>
      <c r="AH64" s="451"/>
      <c r="AI64" s="669"/>
      <c r="AJ64" s="669"/>
      <c r="AK64" s="367"/>
      <c r="AL64" s="367"/>
    </row>
    <row r="65" spans="1:41" ht="12.75" customHeight="1" x14ac:dyDescent="0.25">
      <c r="A65" s="317"/>
      <c r="B65" s="328" t="s">
        <v>412</v>
      </c>
      <c r="C65" s="328" t="s">
        <v>22</v>
      </c>
      <c r="D65" s="310"/>
      <c r="E65" s="310"/>
      <c r="F65" s="310"/>
      <c r="G65" s="310"/>
      <c r="H65" s="310"/>
      <c r="I65" s="342"/>
      <c r="J65" s="331"/>
      <c r="K65" s="308"/>
      <c r="L65" s="312">
        <f>ROUND(VLOOKUP(J63,TabelLønninger,VLOOKUP(LønkodeNyLøn,TabelPensgivLøn,2))*PensionsProcentNyLøn/100/12*(TællerNyLøn/M7),2)+(PensionsProcentNyLøn/100*(+L18+L23+L29+L30+L31+L32+L42+L43+L44+L52+L54+L55+L56+L58+L61))</f>
        <v>0</v>
      </c>
      <c r="M65" s="313">
        <f>L65*12</f>
        <v>0</v>
      </c>
      <c r="N65" s="322"/>
      <c r="O65" s="322"/>
      <c r="P65" s="322"/>
      <c r="Q65" s="322"/>
      <c r="U65" s="319"/>
      <c r="V65" s="319"/>
      <c r="AG65" s="658"/>
      <c r="AI65" s="669"/>
      <c r="AJ65" s="669"/>
      <c r="AK65" s="367"/>
      <c r="AL65" s="367"/>
    </row>
    <row r="66" spans="1:41" ht="12.75" customHeight="1" x14ac:dyDescent="0.25">
      <c r="A66" s="317"/>
      <c r="B66" s="314" t="s">
        <v>407</v>
      </c>
      <c r="C66" s="328"/>
      <c r="D66" s="320"/>
      <c r="E66" s="320"/>
      <c r="F66" s="320"/>
      <c r="G66" s="320"/>
      <c r="H66" s="320"/>
      <c r="I66" s="342"/>
      <c r="J66" s="362"/>
      <c r="K66" s="308"/>
      <c r="L66" s="344">
        <f>SUM(L63:L65)</f>
        <v>0</v>
      </c>
      <c r="M66" s="345">
        <f>SUM(M63:M65)</f>
        <v>0</v>
      </c>
      <c r="N66" s="363"/>
      <c r="O66" s="363"/>
      <c r="P66" s="363"/>
      <c r="Q66" s="363"/>
      <c r="U66" s="322"/>
      <c r="V66" s="322"/>
      <c r="AG66" s="451"/>
      <c r="AI66" s="446"/>
      <c r="AK66" s="367"/>
      <c r="AL66" s="367"/>
    </row>
    <row r="67" spans="1:41" ht="10.5" customHeight="1" x14ac:dyDescent="0.25">
      <c r="A67" s="317"/>
      <c r="B67" s="314"/>
      <c r="C67" s="328"/>
      <c r="D67" s="320"/>
      <c r="E67" s="320"/>
      <c r="F67" s="320"/>
      <c r="G67" s="320"/>
      <c r="H67" s="320"/>
      <c r="I67" s="342"/>
      <c r="J67" s="362"/>
      <c r="K67" s="362"/>
      <c r="L67" s="363"/>
      <c r="M67" s="363"/>
      <c r="N67" s="363"/>
      <c r="O67" s="363"/>
      <c r="P67" s="363"/>
      <c r="Q67" s="363"/>
      <c r="U67" s="322"/>
      <c r="V67" s="322"/>
      <c r="AG67" s="451"/>
      <c r="AI67" s="446"/>
      <c r="AK67" s="367"/>
      <c r="AL67" s="367"/>
    </row>
    <row r="68" spans="1:41" ht="12" customHeight="1" x14ac:dyDescent="0.25">
      <c r="A68" s="317"/>
      <c r="B68" s="707" t="s">
        <v>777</v>
      </c>
      <c r="C68" s="708"/>
      <c r="D68" s="708"/>
      <c r="E68" s="708"/>
      <c r="F68" s="708"/>
      <c r="G68" s="708"/>
      <c r="H68" s="708"/>
      <c r="I68" s="709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1"/>
      <c r="AG68" s="663" t="s">
        <v>723</v>
      </c>
      <c r="AH68" s="664"/>
      <c r="AI68" s="664"/>
      <c r="AJ68" s="665"/>
      <c r="AK68" s="367"/>
      <c r="AL68" s="367"/>
    </row>
    <row r="69" spans="1:41" ht="9" customHeight="1" x14ac:dyDescent="0.25">
      <c r="A69" s="317"/>
      <c r="B69" s="712"/>
      <c r="C69" s="713"/>
      <c r="D69" s="713"/>
      <c r="E69" s="713"/>
      <c r="F69" s="713"/>
      <c r="G69" s="713"/>
      <c r="H69" s="713"/>
      <c r="I69" s="713"/>
      <c r="J69" s="713"/>
      <c r="K69" s="713"/>
      <c r="L69" s="713"/>
      <c r="M69" s="713"/>
      <c r="N69" s="713"/>
      <c r="O69" s="713"/>
      <c r="P69" s="713"/>
      <c r="Q69" s="713"/>
      <c r="R69" s="713"/>
      <c r="S69" s="713"/>
      <c r="T69" s="713"/>
      <c r="U69" s="713"/>
      <c r="V69" s="713"/>
      <c r="W69" s="713"/>
      <c r="X69" s="713"/>
      <c r="Y69" s="713"/>
      <c r="Z69" s="713"/>
      <c r="AA69" s="713"/>
      <c r="AB69" s="713"/>
      <c r="AC69" s="713"/>
      <c r="AD69" s="714"/>
      <c r="AG69" s="666"/>
      <c r="AH69" s="667"/>
      <c r="AI69" s="667"/>
      <c r="AJ69" s="668"/>
      <c r="AK69" s="367"/>
      <c r="AL69" s="367"/>
    </row>
    <row r="70" spans="1:41" ht="26.25" customHeight="1" x14ac:dyDescent="0.25">
      <c r="A70" s="317"/>
      <c r="B70" s="715"/>
      <c r="C70" s="716"/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716"/>
      <c r="W70" s="716"/>
      <c r="X70" s="716"/>
      <c r="Y70" s="716"/>
      <c r="Z70" s="716"/>
      <c r="AA70" s="716"/>
      <c r="AB70" s="716"/>
      <c r="AC70" s="716"/>
      <c r="AD70" s="717"/>
      <c r="AG70" s="660" t="s">
        <v>744</v>
      </c>
      <c r="AH70" s="661"/>
      <c r="AI70" s="661"/>
      <c r="AJ70" s="662"/>
      <c r="AK70" s="367"/>
      <c r="AL70" s="367"/>
    </row>
    <row r="71" spans="1:41" ht="14.25" customHeight="1" x14ac:dyDescent="0.25">
      <c r="C71" s="683"/>
      <c r="D71" s="683"/>
      <c r="E71" s="683"/>
      <c r="F71" s="683"/>
      <c r="G71" s="683"/>
      <c r="H71" s="683"/>
      <c r="I71" s="683"/>
      <c r="AG71" s="660"/>
      <c r="AH71" s="661"/>
      <c r="AI71" s="661"/>
      <c r="AJ71" s="662"/>
      <c r="AK71" s="367"/>
      <c r="AL71" s="367"/>
    </row>
    <row r="72" spans="1:41" ht="8.25" customHeight="1" x14ac:dyDescent="0.25">
      <c r="C72" s="684"/>
      <c r="D72" s="684"/>
      <c r="E72" s="684"/>
      <c r="F72" s="684"/>
      <c r="G72" s="684"/>
      <c r="H72" s="684"/>
      <c r="I72" s="684"/>
      <c r="AG72" s="660" t="s">
        <v>745</v>
      </c>
      <c r="AH72" s="661"/>
      <c r="AI72" s="661"/>
      <c r="AJ72" s="662"/>
      <c r="AK72" s="367"/>
      <c r="AL72" s="367"/>
    </row>
    <row r="73" spans="1:41" s="352" customFormat="1" ht="18" x14ac:dyDescent="0.2">
      <c r="B73" s="561" t="s">
        <v>767</v>
      </c>
      <c r="C73" s="391"/>
      <c r="D73" s="391"/>
      <c r="E73" s="702"/>
      <c r="F73" s="702"/>
      <c r="G73" s="702"/>
      <c r="H73" s="702"/>
      <c r="I73" s="702"/>
      <c r="J73" s="702"/>
      <c r="K73" s="703"/>
      <c r="L73" s="561" t="s">
        <v>767</v>
      </c>
      <c r="M73" s="731"/>
      <c r="N73" s="731"/>
      <c r="O73" s="731"/>
      <c r="P73" s="731"/>
      <c r="Q73" s="731"/>
      <c r="R73" s="731"/>
      <c r="S73" s="731"/>
      <c r="T73" s="731"/>
      <c r="U73" s="731"/>
      <c r="V73" s="731"/>
      <c r="W73" s="731"/>
      <c r="X73" s="731"/>
      <c r="Y73" s="731"/>
      <c r="Z73" s="731"/>
      <c r="AA73" s="731"/>
      <c r="AB73" s="731"/>
      <c r="AC73" s="731"/>
      <c r="AD73" s="732"/>
      <c r="AF73" s="455"/>
      <c r="AG73" s="660"/>
      <c r="AH73" s="661"/>
      <c r="AI73" s="661"/>
      <c r="AJ73" s="662"/>
      <c r="AK73" s="369"/>
      <c r="AL73" s="369"/>
    </row>
    <row r="74" spans="1:41" ht="18" x14ac:dyDescent="0.25">
      <c r="B74" s="704"/>
      <c r="C74" s="705"/>
      <c r="D74" s="705"/>
      <c r="E74" s="705"/>
      <c r="F74" s="705"/>
      <c r="G74" s="705"/>
      <c r="H74" s="705"/>
      <c r="I74" s="705"/>
      <c r="J74" s="705"/>
      <c r="K74" s="706"/>
      <c r="L74" s="562"/>
      <c r="M74" s="563"/>
      <c r="N74" s="588"/>
      <c r="O74" s="588"/>
      <c r="P74" s="588"/>
      <c r="Q74" s="588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4"/>
      <c r="AG74" s="659"/>
      <c r="AH74" s="659"/>
      <c r="AI74" s="659"/>
      <c r="AJ74" s="659"/>
      <c r="AK74" s="367"/>
      <c r="AL74" s="367"/>
    </row>
    <row r="75" spans="1:41" ht="24.75" customHeight="1" x14ac:dyDescent="0.25">
      <c r="B75" s="685" t="s">
        <v>754</v>
      </c>
      <c r="C75" s="685"/>
      <c r="D75" s="685"/>
      <c r="E75" s="685"/>
      <c r="F75" s="685"/>
      <c r="G75" s="685"/>
      <c r="H75" s="685"/>
      <c r="I75" s="685"/>
      <c r="J75" s="354"/>
      <c r="K75" s="354"/>
      <c r="L75" s="685" t="s">
        <v>774</v>
      </c>
      <c r="M75" s="685"/>
      <c r="N75" s="685"/>
      <c r="O75" s="685"/>
      <c r="P75" s="685"/>
      <c r="Q75" s="685"/>
      <c r="R75" s="685"/>
      <c r="S75" s="685"/>
      <c r="T75" s="685"/>
      <c r="U75" s="685"/>
      <c r="V75" s="685"/>
      <c r="W75" s="685"/>
      <c r="X75" s="353"/>
      <c r="Y75" s="353"/>
      <c r="Z75" s="353"/>
      <c r="AA75" s="353"/>
      <c r="AB75" s="353"/>
      <c r="AC75" s="353"/>
      <c r="AD75" s="353"/>
      <c r="AG75" s="657"/>
      <c r="AH75" s="657"/>
      <c r="AI75" s="657"/>
      <c r="AJ75" s="657"/>
      <c r="AK75" s="367"/>
      <c r="AL75" s="367"/>
    </row>
    <row r="76" spans="1:41" ht="6.75" customHeight="1" x14ac:dyDescent="0.25">
      <c r="C76" s="567"/>
    </row>
    <row r="77" spans="1:41" ht="12.75" customHeight="1" x14ac:dyDescent="0.25">
      <c r="A77" s="303"/>
      <c r="B77" s="303"/>
      <c r="L77" s="305"/>
      <c r="M77" s="682" t="s">
        <v>734</v>
      </c>
      <c r="N77" s="682"/>
      <c r="O77" s="682"/>
      <c r="P77" s="682"/>
      <c r="Q77" s="682"/>
      <c r="R77" s="682"/>
      <c r="S77" s="682"/>
      <c r="T77" s="682"/>
      <c r="U77" s="682"/>
      <c r="V77" s="682"/>
      <c r="W77" s="682"/>
      <c r="X77" s="682"/>
      <c r="Y77" s="682"/>
      <c r="Z77" s="682"/>
      <c r="AA77" s="682"/>
      <c r="AB77" s="682"/>
      <c r="AC77" s="682"/>
      <c r="AD77" s="682"/>
      <c r="AE77" s="682"/>
      <c r="AF77" s="456"/>
      <c r="AG77" s="444"/>
      <c r="AH77" s="444"/>
      <c r="AI77" s="444"/>
      <c r="AJ77" s="444"/>
      <c r="AK77" s="371"/>
      <c r="AL77" s="371"/>
      <c r="AM77" s="371"/>
      <c r="AN77" s="371"/>
      <c r="AO77" s="371"/>
    </row>
    <row r="78" spans="1:41" ht="19.5" customHeight="1" x14ac:dyDescent="0.35">
      <c r="A78" s="365"/>
      <c r="B78" s="504" t="s">
        <v>733</v>
      </c>
      <c r="C78" s="504"/>
      <c r="D78" s="504"/>
      <c r="E78" s="504"/>
      <c r="F78" s="504"/>
      <c r="G78" s="504"/>
      <c r="H78" s="504"/>
      <c r="I78" s="504"/>
      <c r="J78" s="504"/>
      <c r="K78" s="504"/>
      <c r="L78" s="504"/>
      <c r="M78" s="682"/>
      <c r="N78" s="682"/>
      <c r="O78" s="682"/>
      <c r="P78" s="682"/>
      <c r="Q78" s="682"/>
      <c r="R78" s="682"/>
      <c r="S78" s="682"/>
      <c r="T78" s="682"/>
      <c r="U78" s="682"/>
      <c r="V78" s="682"/>
      <c r="W78" s="682"/>
      <c r="X78" s="682"/>
      <c r="Y78" s="682"/>
      <c r="Z78" s="682"/>
      <c r="AA78" s="682"/>
      <c r="AB78" s="682"/>
      <c r="AC78" s="682"/>
      <c r="AD78" s="682"/>
      <c r="AE78" s="682"/>
      <c r="AK78" s="367"/>
      <c r="AL78" s="367"/>
    </row>
    <row r="79" spans="1:41" ht="5.25" customHeight="1" x14ac:dyDescent="0.25">
      <c r="A79" s="687" t="s">
        <v>7</v>
      </c>
      <c r="B79" s="687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05"/>
      <c r="O79" s="605"/>
      <c r="P79" s="605"/>
      <c r="Q79" s="605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K79" s="367"/>
      <c r="AL79" s="367"/>
    </row>
    <row r="80" spans="1:41" ht="12.75" customHeight="1" x14ac:dyDescent="0.25">
      <c r="A80" s="317"/>
      <c r="B80" s="681" t="s">
        <v>66</v>
      </c>
      <c r="C80" s="681"/>
      <c r="D80" s="681"/>
      <c r="E80" s="681"/>
      <c r="F80" s="681"/>
      <c r="G80" s="681"/>
      <c r="H80" s="318"/>
      <c r="I80" s="675" t="str">
        <f>+IF(+I4&gt;0,+I4," ")</f>
        <v xml:space="preserve"> </v>
      </c>
      <c r="J80" s="676"/>
      <c r="K80" s="676"/>
      <c r="L80" s="676"/>
      <c r="M80" s="677"/>
      <c r="N80" s="306"/>
      <c r="O80" s="306"/>
      <c r="P80" s="590"/>
      <c r="Q80" s="306"/>
      <c r="S80" s="306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  <c r="AD80" s="331"/>
      <c r="AK80" s="367"/>
      <c r="AL80" s="367"/>
    </row>
    <row r="81" spans="1:38" ht="12.75" customHeight="1" x14ac:dyDescent="0.25">
      <c r="A81" s="317"/>
      <c r="B81" s="681" t="s">
        <v>88</v>
      </c>
      <c r="C81" s="681"/>
      <c r="D81" s="681"/>
      <c r="E81" s="681"/>
      <c r="F81" s="681"/>
      <c r="G81" s="681"/>
      <c r="H81" s="318"/>
      <c r="I81" s="675" t="str">
        <f>+IF(+I5&gt;0,+I5," ")</f>
        <v xml:space="preserve"> </v>
      </c>
      <c r="J81" s="676"/>
      <c r="K81" s="676"/>
      <c r="L81" s="676"/>
      <c r="M81" s="677"/>
      <c r="N81" s="306"/>
      <c r="O81" s="306"/>
      <c r="P81" s="590"/>
      <c r="Q81" s="306"/>
      <c r="S81" s="306"/>
      <c r="T81" s="375"/>
      <c r="U81" s="393"/>
      <c r="V81" s="393"/>
      <c r="W81" s="393"/>
      <c r="X81" s="393"/>
      <c r="Y81" s="393"/>
      <c r="Z81" s="331"/>
      <c r="AA81" s="331"/>
      <c r="AB81" s="331"/>
      <c r="AC81" s="331"/>
      <c r="AD81" s="331"/>
      <c r="AK81" s="367"/>
      <c r="AL81" s="367"/>
    </row>
    <row r="82" spans="1:38" ht="12.75" customHeight="1" x14ac:dyDescent="0.25">
      <c r="A82" s="317"/>
      <c r="B82" s="317" t="s">
        <v>89</v>
      </c>
      <c r="C82" s="310"/>
      <c r="D82" s="310"/>
      <c r="E82" s="310"/>
      <c r="F82" s="310"/>
      <c r="G82" s="310"/>
      <c r="H82" s="318"/>
      <c r="I82" s="675" t="str">
        <f>+IF(+I6&gt;0,+I6," ")</f>
        <v xml:space="preserve"> </v>
      </c>
      <c r="J82" s="676"/>
      <c r="K82" s="676"/>
      <c r="L82" s="676"/>
      <c r="M82" s="677"/>
      <c r="N82" s="306"/>
      <c r="O82" s="306"/>
      <c r="P82" s="590"/>
      <c r="Q82" s="306"/>
      <c r="S82" s="306"/>
      <c r="T82" s="375"/>
      <c r="U82" s="393"/>
      <c r="V82" s="394"/>
      <c r="W82" s="349"/>
      <c r="X82" s="349"/>
      <c r="Y82" s="349"/>
      <c r="Z82" s="349"/>
      <c r="AA82" s="349"/>
      <c r="AB82" s="349"/>
      <c r="AC82" s="349"/>
      <c r="AD82" s="349"/>
      <c r="AK82" s="367"/>
      <c r="AL82" s="367"/>
    </row>
    <row r="83" spans="1:38" ht="12.75" customHeight="1" x14ac:dyDescent="0.25">
      <c r="A83" s="317"/>
      <c r="B83" s="317" t="s">
        <v>438</v>
      </c>
      <c r="C83" s="310"/>
      <c r="D83" s="310"/>
      <c r="E83" s="310"/>
      <c r="F83" s="310"/>
      <c r="G83" s="310"/>
      <c r="H83" s="318"/>
      <c r="I83" s="324">
        <v>37</v>
      </c>
      <c r="J83" s="355"/>
      <c r="K83" s="424"/>
      <c r="L83" s="430" t="s">
        <v>410</v>
      </c>
      <c r="M83" s="607">
        <v>37</v>
      </c>
      <c r="N83" s="606"/>
      <c r="O83" s="597"/>
      <c r="P83" s="606"/>
      <c r="Q83" s="606"/>
      <c r="R83" s="613">
        <f>I83/MAX(M83,1)</f>
        <v>1</v>
      </c>
      <c r="S83" s="306"/>
      <c r="T83" s="375"/>
      <c r="U83" s="614"/>
      <c r="V83" s="614"/>
      <c r="W83" s="615"/>
      <c r="X83" s="615"/>
      <c r="Y83" s="615"/>
      <c r="Z83" s="615"/>
      <c r="AA83" s="615"/>
      <c r="AB83" s="615"/>
      <c r="AC83" s="615"/>
      <c r="AD83" s="615"/>
      <c r="AK83" s="367"/>
      <c r="AL83" s="367"/>
    </row>
    <row r="84" spans="1:38" ht="7.5" customHeight="1" x14ac:dyDescent="0.2">
      <c r="A84" s="317"/>
      <c r="B84" s="358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722" t="s">
        <v>775</v>
      </c>
      <c r="P84" s="310"/>
      <c r="Q84" s="310"/>
      <c r="R84" s="310"/>
      <c r="S84" s="310"/>
      <c r="T84" s="310"/>
      <c r="U84" s="310"/>
      <c r="V84" s="310"/>
      <c r="W84" s="349"/>
      <c r="X84" s="349"/>
      <c r="Y84" s="349"/>
      <c r="Z84" s="349"/>
      <c r="AA84" s="349"/>
      <c r="AB84" s="349"/>
      <c r="AC84" s="349"/>
      <c r="AD84" s="349"/>
      <c r="AF84" s="457"/>
      <c r="AG84" s="452"/>
      <c r="AH84" s="452"/>
      <c r="AI84" s="452"/>
      <c r="AJ84" s="452"/>
      <c r="AK84" s="370"/>
      <c r="AL84" s="370"/>
    </row>
    <row r="85" spans="1:38" ht="12.75" hidden="1" customHeight="1" x14ac:dyDescent="0.25">
      <c r="A85" s="317"/>
      <c r="B85" s="359"/>
      <c r="C85" s="314"/>
      <c r="D85" s="314"/>
      <c r="E85" s="314"/>
      <c r="F85" s="314"/>
      <c r="G85" s="314"/>
      <c r="H85" s="314"/>
      <c r="I85" s="328">
        <f>+IF(+Y88=7101,4,+IF(+Y88=7001,3,+IF(+Y88=3101,1,0)))</f>
        <v>0</v>
      </c>
      <c r="J85" s="314"/>
      <c r="K85" s="314"/>
      <c r="L85" s="582">
        <f>+IF(+I85=0,4,+(IF(+I85=1,7,+IF(+I85=3,14,+IF(+I85=4,18,4)))))</f>
        <v>4</v>
      </c>
      <c r="M85" s="583">
        <f>+IF(+I85=0,2,+(IF(+I85=1,6,+IF(+I85=3,12,+IF(+I85=4,16,2)))))</f>
        <v>2</v>
      </c>
      <c r="N85" s="583"/>
      <c r="O85" s="723"/>
      <c r="P85" s="583"/>
      <c r="Q85" s="583"/>
      <c r="S85" s="306"/>
      <c r="T85" s="375"/>
      <c r="U85" s="393"/>
      <c r="V85" s="394"/>
      <c r="W85" s="349"/>
      <c r="X85" s="349"/>
      <c r="Y85" s="349"/>
      <c r="Z85" s="349"/>
      <c r="AA85" s="349"/>
      <c r="AB85" s="349"/>
      <c r="AC85" s="349"/>
      <c r="AD85" s="349"/>
      <c r="AE85" s="325"/>
      <c r="AF85" s="457"/>
      <c r="AG85" s="452"/>
      <c r="AH85" s="452"/>
      <c r="AI85" s="452"/>
      <c r="AJ85" s="452"/>
      <c r="AK85" s="370"/>
      <c r="AL85" s="370"/>
    </row>
    <row r="86" spans="1:38" ht="12.75" customHeight="1" x14ac:dyDescent="0.25">
      <c r="A86" s="317"/>
      <c r="B86" s="462" t="s">
        <v>270</v>
      </c>
      <c r="C86" s="314"/>
      <c r="D86" s="314"/>
      <c r="E86" s="314"/>
      <c r="F86" s="314"/>
      <c r="G86" s="314"/>
      <c r="H86" s="315"/>
      <c r="I86" s="324"/>
      <c r="J86" s="339" t="s">
        <v>389</v>
      </c>
      <c r="K86" s="425"/>
      <c r="L86" s="498" t="s">
        <v>400</v>
      </c>
      <c r="M86" s="347">
        <f>VLOOKUP(+I85,TabelPctReg,2)</f>
        <v>34.464599999999997</v>
      </c>
      <c r="N86" s="347"/>
      <c r="O86" s="723"/>
      <c r="P86" s="347"/>
      <c r="Q86" s="347"/>
      <c r="S86" s="306"/>
      <c r="T86" s="306"/>
      <c r="U86" s="357"/>
      <c r="V86" s="357"/>
      <c r="W86" s="721"/>
      <c r="X86" s="721"/>
      <c r="Y86" s="721"/>
      <c r="Z86" s="721"/>
      <c r="AA86" s="721"/>
      <c r="AB86" s="721"/>
      <c r="AC86" s="721"/>
      <c r="AD86" s="721"/>
      <c r="AK86" s="367"/>
      <c r="AL86" s="367"/>
    </row>
    <row r="87" spans="1:38" ht="12.75" customHeight="1" x14ac:dyDescent="0.25">
      <c r="A87" s="306"/>
      <c r="O87" s="723"/>
      <c r="S87" s="366"/>
      <c r="T87" s="395" t="s">
        <v>770</v>
      </c>
      <c r="U87" s="366"/>
      <c r="V87" s="357"/>
      <c r="W87" s="357"/>
      <c r="X87" s="357"/>
      <c r="Y87" s="357"/>
      <c r="Z87" s="357"/>
      <c r="AA87" s="357"/>
      <c r="AB87" s="357"/>
      <c r="AC87" s="357"/>
      <c r="AD87" s="357"/>
      <c r="AK87" s="367"/>
      <c r="AL87" s="367"/>
    </row>
    <row r="88" spans="1:38" ht="11.25" customHeight="1" x14ac:dyDescent="0.25">
      <c r="A88" s="612"/>
      <c r="B88" s="612"/>
      <c r="C88" s="612"/>
      <c r="D88" s="612"/>
      <c r="E88" s="612"/>
      <c r="F88" s="612"/>
      <c r="G88" s="612"/>
      <c r="H88" s="612"/>
      <c r="I88" s="337" t="s">
        <v>162</v>
      </c>
      <c r="J88" s="337" t="s">
        <v>21</v>
      </c>
      <c r="K88" s="337"/>
      <c r="L88" s="337" t="s">
        <v>234</v>
      </c>
      <c r="M88" s="350" t="s">
        <v>235</v>
      </c>
      <c r="N88" s="350"/>
      <c r="O88" s="723"/>
      <c r="P88" s="350"/>
      <c r="Q88" s="350"/>
      <c r="R88" s="308"/>
      <c r="S88" s="366"/>
      <c r="T88" s="349"/>
      <c r="U88" s="349"/>
      <c r="V88" s="348"/>
      <c r="W88" s="348"/>
      <c r="X88" s="348"/>
      <c r="Y88" s="699"/>
      <c r="Z88" s="700"/>
      <c r="AA88" s="700"/>
      <c r="AB88" s="700"/>
      <c r="AC88" s="701"/>
      <c r="AD88" s="357"/>
      <c r="AF88" s="457"/>
      <c r="AG88" s="449"/>
      <c r="AH88" s="449"/>
      <c r="AI88" s="449"/>
      <c r="AJ88" s="449"/>
      <c r="AK88" s="368"/>
      <c r="AL88" s="368"/>
    </row>
    <row r="89" spans="1:38" ht="11.25" customHeight="1" x14ac:dyDescent="0.2">
      <c r="A89" s="309"/>
      <c r="B89" s="598"/>
      <c r="C89" s="598"/>
      <c r="D89" s="598"/>
      <c r="E89" s="598"/>
      <c r="F89" s="598"/>
      <c r="G89" s="598"/>
      <c r="H89" s="598"/>
      <c r="I89" s="337" t="s">
        <v>163</v>
      </c>
      <c r="J89" s="337" t="s">
        <v>123</v>
      </c>
      <c r="K89" s="337"/>
      <c r="L89" s="609">
        <f>Dato1-0</f>
        <v>42736</v>
      </c>
      <c r="M89" s="603">
        <f>Dato1-0</f>
        <v>42736</v>
      </c>
      <c r="N89" s="351"/>
      <c r="O89" s="723"/>
      <c r="P89" s="351"/>
      <c r="Q89" s="351"/>
      <c r="R89" s="308"/>
      <c r="S89" s="306"/>
      <c r="T89" s="690" t="e">
        <f>+VLOOKUP(Y88,Vejledning!1:1048576,2,1)</f>
        <v>#N/A</v>
      </c>
      <c r="U89" s="690"/>
      <c r="V89" s="690"/>
      <c r="W89" s="690"/>
      <c r="X89" s="690"/>
      <c r="Y89" s="690"/>
      <c r="Z89" s="690"/>
      <c r="AA89" s="690"/>
      <c r="AB89" s="690"/>
      <c r="AC89" s="690"/>
      <c r="AD89" s="306"/>
      <c r="AF89" s="457"/>
      <c r="AG89" s="449"/>
      <c r="AH89" s="449"/>
      <c r="AI89" s="449"/>
      <c r="AJ89" s="449"/>
      <c r="AK89" s="368"/>
      <c r="AL89" s="368"/>
    </row>
    <row r="90" spans="1:38" ht="11.25" customHeight="1" x14ac:dyDescent="0.2">
      <c r="A90" s="310"/>
      <c r="B90" s="306"/>
      <c r="C90" s="306"/>
      <c r="D90" s="306"/>
      <c r="E90" s="306"/>
      <c r="F90" s="306"/>
      <c r="G90" s="306"/>
      <c r="H90" s="306"/>
      <c r="I90" s="609">
        <f>VLOOKUP(I85,TabelPctReg,3)</f>
        <v>36616</v>
      </c>
      <c r="J90" s="337"/>
      <c r="K90" s="337"/>
      <c r="L90" s="609" t="s">
        <v>399</v>
      </c>
      <c r="M90" s="603" t="s">
        <v>399</v>
      </c>
      <c r="N90" s="351"/>
      <c r="O90" s="723"/>
      <c r="P90" s="351"/>
      <c r="Q90" s="351"/>
      <c r="R90" s="311"/>
      <c r="S90" s="341"/>
      <c r="T90" s="690"/>
      <c r="U90" s="690"/>
      <c r="V90" s="690"/>
      <c r="W90" s="690"/>
      <c r="X90" s="690"/>
      <c r="Y90" s="690"/>
      <c r="Z90" s="690"/>
      <c r="AA90" s="690"/>
      <c r="AB90" s="690"/>
      <c r="AC90" s="690"/>
      <c r="AD90" s="389"/>
      <c r="AF90" s="457"/>
      <c r="AG90" s="449"/>
      <c r="AH90" s="449"/>
      <c r="AI90" s="449"/>
      <c r="AJ90" s="449"/>
      <c r="AK90" s="368"/>
      <c r="AL90" s="368"/>
    </row>
    <row r="91" spans="1:38" ht="6.75" customHeight="1" x14ac:dyDescent="0.25">
      <c r="A91" s="310"/>
      <c r="B91" s="306"/>
      <c r="C91" s="306"/>
      <c r="D91" s="306"/>
      <c r="E91" s="306"/>
      <c r="F91" s="306"/>
      <c r="G91" s="306"/>
      <c r="H91" s="306"/>
      <c r="I91" s="604"/>
      <c r="J91" s="334"/>
      <c r="K91" s="337"/>
      <c r="L91" s="610"/>
      <c r="M91" s="610"/>
      <c r="N91" s="311"/>
      <c r="O91" s="723"/>
      <c r="P91" s="311"/>
      <c r="Q91" s="311"/>
      <c r="R91" s="311"/>
      <c r="S91" s="374"/>
      <c r="T91" s="690"/>
      <c r="U91" s="690"/>
      <c r="V91" s="690"/>
      <c r="W91" s="690"/>
      <c r="X91" s="690"/>
      <c r="Y91" s="690"/>
      <c r="Z91" s="690"/>
      <c r="AA91" s="690"/>
      <c r="AB91" s="690"/>
      <c r="AC91" s="690"/>
      <c r="AD91" s="389"/>
      <c r="AF91" s="457"/>
      <c r="AG91" s="449"/>
      <c r="AH91" s="449"/>
      <c r="AI91" s="449"/>
      <c r="AJ91" s="449"/>
      <c r="AK91" s="368"/>
      <c r="AL91" s="368"/>
    </row>
    <row r="92" spans="1:38" ht="12.75" customHeight="1" x14ac:dyDescent="0.25">
      <c r="A92" s="317"/>
      <c r="B92" s="314" t="s">
        <v>391</v>
      </c>
      <c r="C92" s="314"/>
      <c r="D92" s="314"/>
      <c r="E92" s="314"/>
      <c r="F92" s="314"/>
      <c r="G92" s="314"/>
      <c r="H92" s="314"/>
      <c r="I92" s="418"/>
      <c r="J92" s="323"/>
      <c r="K92" s="337"/>
      <c r="L92" s="312">
        <f>ROUND(VLOOKUP(J92,TabelLøn,+L85,1)*R83,2)</f>
        <v>0</v>
      </c>
      <c r="M92" s="313">
        <f>L92*12</f>
        <v>0</v>
      </c>
      <c r="N92" s="322"/>
      <c r="O92" s="723"/>
      <c r="P92" s="322"/>
      <c r="Q92" s="322"/>
      <c r="S92" s="374"/>
      <c r="T92" s="690"/>
      <c r="U92" s="690"/>
      <c r="V92" s="690"/>
      <c r="W92" s="690"/>
      <c r="X92" s="690"/>
      <c r="Y92" s="690"/>
      <c r="Z92" s="690"/>
      <c r="AA92" s="690"/>
      <c r="AB92" s="690"/>
      <c r="AC92" s="690"/>
      <c r="AD92" s="389"/>
      <c r="AF92" s="457"/>
      <c r="AG92" s="449"/>
      <c r="AH92" s="449"/>
      <c r="AI92" s="449"/>
      <c r="AJ92" s="449"/>
      <c r="AK92" s="368"/>
      <c r="AL92" s="368"/>
    </row>
    <row r="93" spans="1:38" ht="12.75" customHeight="1" x14ac:dyDescent="0.25">
      <c r="A93" s="317"/>
      <c r="B93" s="314"/>
      <c r="C93" s="328" t="s">
        <v>390</v>
      </c>
      <c r="D93" s="314"/>
      <c r="E93" s="314"/>
      <c r="F93" s="314"/>
      <c r="G93" s="314"/>
      <c r="H93" s="315"/>
      <c r="I93" s="316"/>
      <c r="J93" s="427"/>
      <c r="K93" s="337"/>
      <c r="L93" s="312">
        <f>ROUND(I93/12*R83*((100+M86)/100),2)</f>
        <v>0</v>
      </c>
      <c r="M93" s="313">
        <f>L93*12</f>
        <v>0</v>
      </c>
      <c r="N93" s="322"/>
      <c r="O93" s="723"/>
      <c r="P93" s="310"/>
      <c r="Q93" s="322"/>
      <c r="S93" s="375"/>
      <c r="T93" s="690"/>
      <c r="U93" s="690"/>
      <c r="V93" s="690"/>
      <c r="W93" s="690"/>
      <c r="X93" s="690"/>
      <c r="Y93" s="690"/>
      <c r="Z93" s="690"/>
      <c r="AA93" s="690"/>
      <c r="AB93" s="690"/>
      <c r="AC93" s="690"/>
      <c r="AD93" s="375"/>
      <c r="AK93" s="367"/>
      <c r="AL93" s="367"/>
    </row>
    <row r="94" spans="1:38" ht="6" customHeight="1" x14ac:dyDescent="0.25">
      <c r="A94" s="317"/>
      <c r="B94" s="317"/>
      <c r="C94" s="317"/>
      <c r="D94" s="317"/>
      <c r="E94" s="317"/>
      <c r="F94" s="317"/>
      <c r="G94" s="317"/>
      <c r="H94" s="317"/>
      <c r="I94" s="329"/>
      <c r="J94" s="308"/>
      <c r="K94" s="337"/>
      <c r="L94" s="329"/>
      <c r="M94" s="329"/>
      <c r="N94" s="589"/>
      <c r="O94" s="723"/>
      <c r="P94" s="589"/>
      <c r="Q94" s="589"/>
      <c r="R94" s="317"/>
      <c r="S94" s="678" t="s">
        <v>727</v>
      </c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K94" s="367"/>
      <c r="AL94" s="367"/>
    </row>
    <row r="95" spans="1:38" ht="12.75" customHeight="1" x14ac:dyDescent="0.25">
      <c r="A95" s="317"/>
      <c r="B95" s="327" t="s">
        <v>145</v>
      </c>
      <c r="C95" s="327"/>
      <c r="D95" s="327"/>
      <c r="E95" s="310"/>
      <c r="F95" s="310"/>
      <c r="G95" s="310"/>
      <c r="H95" s="310"/>
      <c r="I95" s="310"/>
      <c r="J95" s="308"/>
      <c r="K95" s="337"/>
      <c r="L95" s="310"/>
      <c r="M95" s="310"/>
      <c r="N95" s="310"/>
      <c r="O95" s="723"/>
      <c r="P95" s="310"/>
      <c r="Q95" s="310"/>
      <c r="R95" s="310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K95" s="367"/>
      <c r="AL95" s="367"/>
    </row>
    <row r="96" spans="1:38" ht="6" customHeight="1" x14ac:dyDescent="0.25">
      <c r="A96" s="317"/>
      <c r="B96" s="310"/>
      <c r="C96" s="330" t="s">
        <v>388</v>
      </c>
      <c r="D96" s="306"/>
      <c r="E96" s="306"/>
      <c r="F96" s="306"/>
      <c r="G96" s="306"/>
      <c r="H96" s="306"/>
      <c r="I96" s="306"/>
      <c r="J96" s="331"/>
      <c r="K96" s="337"/>
      <c r="L96" s="306"/>
      <c r="M96" s="306"/>
      <c r="N96" s="306"/>
      <c r="O96" s="723"/>
      <c r="P96" s="306"/>
      <c r="Q96" s="306"/>
      <c r="R96" s="306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K96" s="367"/>
      <c r="AL96" s="367"/>
    </row>
    <row r="97" spans="1:38" ht="12.75" customHeight="1" x14ac:dyDescent="0.25">
      <c r="A97" s="317"/>
      <c r="B97" s="310"/>
      <c r="C97" s="306" t="s">
        <v>740</v>
      </c>
      <c r="D97" s="310"/>
      <c r="E97" s="310"/>
      <c r="F97" s="310"/>
      <c r="G97" s="310"/>
      <c r="H97" s="310"/>
      <c r="I97" s="418"/>
      <c r="J97" s="323"/>
      <c r="K97" s="337"/>
      <c r="L97" s="312">
        <f>ROUND((VLOOKUP(+J92+J97,TabelLøn,+L85,1)-VLOOKUP(J92,TabelLøn,+L85,1))*R83,2)</f>
        <v>0</v>
      </c>
      <c r="M97" s="313">
        <f>L97*12</f>
        <v>0</v>
      </c>
      <c r="N97" s="726" t="s">
        <v>776</v>
      </c>
      <c r="O97" s="727"/>
      <c r="P97" s="727"/>
      <c r="Q97" s="727"/>
      <c r="R97" s="728"/>
      <c r="S97" s="675" t="s">
        <v>7</v>
      </c>
      <c r="T97" s="676"/>
      <c r="U97" s="676"/>
      <c r="V97" s="676"/>
      <c r="W97" s="676"/>
      <c r="X97" s="676"/>
      <c r="Y97" s="676"/>
      <c r="Z97" s="676"/>
      <c r="AA97" s="676"/>
      <c r="AB97" s="676"/>
      <c r="AC97" s="676"/>
      <c r="AD97" s="677"/>
      <c r="AK97" s="367"/>
      <c r="AL97" s="367"/>
    </row>
    <row r="98" spans="1:38" ht="12.75" customHeight="1" x14ac:dyDescent="0.25">
      <c r="A98" s="317"/>
      <c r="B98" s="310"/>
      <c r="C98" s="306" t="s">
        <v>742</v>
      </c>
      <c r="D98" s="310"/>
      <c r="E98" s="310"/>
      <c r="F98" s="310"/>
      <c r="G98" s="310"/>
      <c r="H98" s="318"/>
      <c r="I98" s="316"/>
      <c r="J98" s="422"/>
      <c r="K98" s="337"/>
      <c r="L98" s="312">
        <f>IF(P98=1,ROUND(I98/12*BeskGradNyLøn1*(1+PctRegNyLøn%),2),(ROUND((1+PctRegNyLøn%)*I98/12,2)))</f>
        <v>0</v>
      </c>
      <c r="M98" s="313">
        <f>L98*12</f>
        <v>0</v>
      </c>
      <c r="N98" s="322"/>
      <c r="O98" s="596"/>
      <c r="P98" s="592">
        <f t="shared" ref="P98" si="12">IF(O98="x",0,1)</f>
        <v>1</v>
      </c>
      <c r="Q98" s="592"/>
      <c r="S98" s="675"/>
      <c r="T98" s="676"/>
      <c r="U98" s="676"/>
      <c r="V98" s="676"/>
      <c r="W98" s="676"/>
      <c r="X98" s="676"/>
      <c r="Y98" s="676"/>
      <c r="Z98" s="676"/>
      <c r="AA98" s="676"/>
      <c r="AB98" s="676"/>
      <c r="AC98" s="676"/>
      <c r="AD98" s="677"/>
      <c r="AK98" s="367"/>
      <c r="AL98" s="367"/>
    </row>
    <row r="99" spans="1:38" ht="6" customHeight="1" x14ac:dyDescent="0.25">
      <c r="A99" s="317"/>
      <c r="B99" s="310"/>
      <c r="C99" s="330" t="s">
        <v>388</v>
      </c>
      <c r="D99" s="306"/>
      <c r="E99" s="306"/>
      <c r="F99" s="306"/>
      <c r="G99" s="306"/>
      <c r="H99" s="306"/>
      <c r="I99" s="306"/>
      <c r="J99" s="331"/>
      <c r="K99" s="337"/>
      <c r="L99" s="306"/>
      <c r="M99" s="306"/>
      <c r="N99" s="306"/>
      <c r="O99" s="306"/>
      <c r="P99" s="306"/>
      <c r="Q99" s="306"/>
      <c r="R99" s="306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K99" s="367"/>
      <c r="AL99" s="367"/>
    </row>
    <row r="100" spans="1:38" ht="12.75" customHeight="1" x14ac:dyDescent="0.25">
      <c r="A100" s="317"/>
      <c r="B100" s="310"/>
      <c r="C100" s="306" t="s">
        <v>393</v>
      </c>
      <c r="D100" s="310"/>
      <c r="E100" s="310"/>
      <c r="F100" s="310"/>
      <c r="G100" s="310"/>
      <c r="H100" s="310"/>
      <c r="I100" s="419"/>
      <c r="J100" s="323"/>
      <c r="K100" s="337"/>
      <c r="L100" s="312">
        <f>ROUND((VLOOKUP($J$92+J97+J100,TabelLøn,+L85,1)-VLOOKUP($J$92+J97,TabelLøn,+L85,1))*R83,2)</f>
        <v>0</v>
      </c>
      <c r="M100" s="313">
        <f t="shared" ref="M100:M107" si="13">L100*12</f>
        <v>0</v>
      </c>
      <c r="N100" s="322"/>
      <c r="O100" s="322"/>
      <c r="P100" s="322"/>
      <c r="Q100" s="322"/>
      <c r="S100" s="675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7"/>
      <c r="AK100" s="367"/>
      <c r="AL100" s="367"/>
    </row>
    <row r="101" spans="1:38" ht="12.75" customHeight="1" x14ac:dyDescent="0.25">
      <c r="A101" s="317"/>
      <c r="B101" s="310"/>
      <c r="C101" s="306" t="s">
        <v>393</v>
      </c>
      <c r="D101" s="310"/>
      <c r="E101" s="310"/>
      <c r="F101" s="310"/>
      <c r="G101" s="310"/>
      <c r="H101" s="310"/>
      <c r="I101" s="419"/>
      <c r="J101" s="323"/>
      <c r="K101" s="337"/>
      <c r="L101" s="312">
        <f>ROUND((VLOOKUP($J$92+J97+J100+J101,TabelLøn,+L85,1)-VLOOKUP($J$92+J97+J100,TabelLøn,+L85,1))*R83,2)</f>
        <v>0</v>
      </c>
      <c r="M101" s="313">
        <f t="shared" si="13"/>
        <v>0</v>
      </c>
      <c r="N101" s="322"/>
      <c r="O101" s="322"/>
      <c r="P101" s="322"/>
      <c r="Q101" s="322"/>
      <c r="S101" s="675"/>
      <c r="T101" s="676"/>
      <c r="U101" s="676"/>
      <c r="V101" s="676"/>
      <c r="W101" s="676"/>
      <c r="X101" s="676"/>
      <c r="Y101" s="676"/>
      <c r="Z101" s="676"/>
      <c r="AA101" s="676"/>
      <c r="AB101" s="676"/>
      <c r="AC101" s="676"/>
      <c r="AD101" s="677"/>
      <c r="AK101" s="367"/>
      <c r="AL101" s="367"/>
    </row>
    <row r="102" spans="1:38" ht="12.75" customHeight="1" x14ac:dyDescent="0.25">
      <c r="A102" s="317"/>
      <c r="B102" s="310"/>
      <c r="C102" s="306" t="s">
        <v>393</v>
      </c>
      <c r="D102" s="310"/>
      <c r="E102" s="310"/>
      <c r="F102" s="310"/>
      <c r="G102" s="310"/>
      <c r="H102" s="310"/>
      <c r="I102" s="419"/>
      <c r="J102" s="323"/>
      <c r="K102" s="337"/>
      <c r="L102" s="312">
        <f>ROUND((VLOOKUP($J$92+J97+J100+J101+J102,TabelLøn,+L85,1)-VLOOKUP($J$92+J97+J100+J101,TabelLøn,+L85,1))*R83,2)</f>
        <v>0</v>
      </c>
      <c r="M102" s="313">
        <f t="shared" si="13"/>
        <v>0</v>
      </c>
      <c r="N102" s="322"/>
      <c r="O102" s="322"/>
      <c r="P102" s="322"/>
      <c r="Q102" s="322"/>
      <c r="S102" s="675"/>
      <c r="T102" s="676"/>
      <c r="U102" s="676"/>
      <c r="V102" s="676"/>
      <c r="W102" s="676"/>
      <c r="X102" s="676"/>
      <c r="Y102" s="676"/>
      <c r="Z102" s="676"/>
      <c r="AA102" s="676"/>
      <c r="AB102" s="676"/>
      <c r="AC102" s="676"/>
      <c r="AD102" s="677"/>
      <c r="AK102" s="367"/>
      <c r="AL102" s="367"/>
    </row>
    <row r="103" spans="1:38" ht="12.75" hidden="1" customHeight="1" x14ac:dyDescent="0.25">
      <c r="A103" s="317"/>
      <c r="B103" s="310"/>
      <c r="C103" s="306" t="s">
        <v>393</v>
      </c>
      <c r="D103" s="310"/>
      <c r="E103" s="310"/>
      <c r="F103" s="310"/>
      <c r="G103" s="310"/>
      <c r="H103" s="310"/>
      <c r="I103" s="418"/>
      <c r="J103" s="323"/>
      <c r="K103" s="337"/>
      <c r="L103" s="312">
        <f>ROUND((VLOOKUP($J$92+J97+J100+J101+J102+J103,TabelLøn,+L85,1)-VLOOKUP($J$92+J97+J100+J101+J102,TabelLøn,+L85,1))*R83,2)</f>
        <v>0</v>
      </c>
      <c r="M103" s="313">
        <f t="shared" si="13"/>
        <v>0</v>
      </c>
      <c r="N103" s="322"/>
      <c r="O103" s="322"/>
      <c r="P103" s="322"/>
      <c r="Q103" s="322"/>
      <c r="S103" s="675"/>
      <c r="T103" s="676"/>
      <c r="U103" s="676"/>
      <c r="V103" s="676"/>
      <c r="W103" s="676"/>
      <c r="X103" s="676"/>
      <c r="Y103" s="676"/>
      <c r="Z103" s="676"/>
      <c r="AA103" s="676"/>
      <c r="AB103" s="676"/>
      <c r="AC103" s="676"/>
      <c r="AD103" s="677"/>
      <c r="AK103" s="367"/>
      <c r="AL103" s="367"/>
    </row>
    <row r="104" spans="1:38" ht="12.75" hidden="1" customHeight="1" x14ac:dyDescent="0.25">
      <c r="A104" s="317"/>
      <c r="B104" s="310"/>
      <c r="C104" s="306" t="s">
        <v>394</v>
      </c>
      <c r="D104" s="310"/>
      <c r="E104" s="310"/>
      <c r="F104" s="310"/>
      <c r="G104" s="310"/>
      <c r="H104" s="318"/>
      <c r="I104" s="316"/>
      <c r="J104" s="420"/>
      <c r="K104" s="337"/>
      <c r="L104" s="312">
        <f>IF(P104=1,ROUND(I104/12*BeskGradNyLøn1*(1+PctRegNyLøn%),2),(ROUND((1+PctRegNyLøn%)*I104/12,2)))</f>
        <v>0</v>
      </c>
      <c r="M104" s="313">
        <f t="shared" si="13"/>
        <v>0</v>
      </c>
      <c r="N104" s="322"/>
      <c r="O104" s="596"/>
      <c r="P104" s="592">
        <f t="shared" ref="P104" si="14">IF(O104="x",0,1)</f>
        <v>1</v>
      </c>
      <c r="Q104" s="322"/>
      <c r="S104" s="675"/>
      <c r="T104" s="676"/>
      <c r="U104" s="676"/>
      <c r="V104" s="676"/>
      <c r="W104" s="676"/>
      <c r="X104" s="676"/>
      <c r="Y104" s="676"/>
      <c r="Z104" s="676"/>
      <c r="AA104" s="676"/>
      <c r="AB104" s="676"/>
      <c r="AC104" s="676"/>
      <c r="AD104" s="677"/>
      <c r="AK104" s="367"/>
      <c r="AL104" s="367"/>
    </row>
    <row r="105" spans="1:38" ht="12.75" customHeight="1" x14ac:dyDescent="0.25">
      <c r="A105" s="317"/>
      <c r="B105" s="310"/>
      <c r="C105" s="306" t="s">
        <v>394</v>
      </c>
      <c r="D105" s="310"/>
      <c r="E105" s="310"/>
      <c r="F105" s="310"/>
      <c r="G105" s="310"/>
      <c r="H105" s="318"/>
      <c r="I105" s="316"/>
      <c r="J105" s="421"/>
      <c r="K105" s="337"/>
      <c r="L105" s="312">
        <f>IF(P105=1,ROUND(I105/12*BeskGradNyLøn1*(1+PctRegNyLøn%),2),(ROUND((1+PctRegNyLøn%)*I105/12,2)))</f>
        <v>0</v>
      </c>
      <c r="M105" s="313">
        <f t="shared" si="13"/>
        <v>0</v>
      </c>
      <c r="N105" s="322"/>
      <c r="O105" s="596"/>
      <c r="P105" s="592">
        <f t="shared" ref="P105:P107" si="15">IF(O105="x",0,1)</f>
        <v>1</v>
      </c>
      <c r="Q105" s="322"/>
      <c r="S105" s="675"/>
      <c r="T105" s="676"/>
      <c r="U105" s="676"/>
      <c r="V105" s="676"/>
      <c r="W105" s="676"/>
      <c r="X105" s="676"/>
      <c r="Y105" s="676"/>
      <c r="Z105" s="676"/>
      <c r="AA105" s="676"/>
      <c r="AB105" s="676"/>
      <c r="AC105" s="676"/>
      <c r="AD105" s="677"/>
      <c r="AK105" s="367"/>
      <c r="AL105" s="367"/>
    </row>
    <row r="106" spans="1:38" ht="12.75" customHeight="1" x14ac:dyDescent="0.25">
      <c r="A106" s="317"/>
      <c r="B106" s="310"/>
      <c r="C106" s="306" t="s">
        <v>394</v>
      </c>
      <c r="D106" s="310"/>
      <c r="E106" s="310"/>
      <c r="F106" s="310"/>
      <c r="G106" s="310"/>
      <c r="H106" s="318"/>
      <c r="I106" s="316"/>
      <c r="J106" s="421"/>
      <c r="K106" s="337"/>
      <c r="L106" s="312">
        <f>IF(P106=1,ROUND(I106/12*BeskGradNyLøn1*(1+PctRegNyLøn%),2),(ROUND((1+PctRegNyLøn%)*I106/12,2)))</f>
        <v>0</v>
      </c>
      <c r="M106" s="313">
        <f t="shared" si="13"/>
        <v>0</v>
      </c>
      <c r="N106" s="322"/>
      <c r="O106" s="596"/>
      <c r="P106" s="592">
        <f t="shared" si="15"/>
        <v>1</v>
      </c>
      <c r="Q106" s="322"/>
      <c r="S106" s="675"/>
      <c r="T106" s="676"/>
      <c r="U106" s="676"/>
      <c r="V106" s="676"/>
      <c r="W106" s="676"/>
      <c r="X106" s="676"/>
      <c r="Y106" s="676"/>
      <c r="Z106" s="676"/>
      <c r="AA106" s="676"/>
      <c r="AB106" s="676"/>
      <c r="AC106" s="676"/>
      <c r="AD106" s="677"/>
      <c r="AK106" s="367"/>
      <c r="AL106" s="367"/>
    </row>
    <row r="107" spans="1:38" ht="12.75" customHeight="1" x14ac:dyDescent="0.25">
      <c r="A107" s="317"/>
      <c r="B107" s="310"/>
      <c r="C107" s="306" t="s">
        <v>394</v>
      </c>
      <c r="D107" s="310"/>
      <c r="E107" s="310"/>
      <c r="F107" s="310"/>
      <c r="G107" s="310"/>
      <c r="H107" s="318"/>
      <c r="I107" s="316"/>
      <c r="J107" s="421"/>
      <c r="K107" s="337"/>
      <c r="L107" s="312">
        <f>IF(P107=1,ROUND(I107/12*BeskGradNyLøn1*(1+PctRegNyLøn%),2),(ROUND((1+PctRegNyLøn%)*I107/12,2)))</f>
        <v>0</v>
      </c>
      <c r="M107" s="313">
        <f t="shared" si="13"/>
        <v>0</v>
      </c>
      <c r="N107" s="322"/>
      <c r="O107" s="596"/>
      <c r="P107" s="592">
        <f t="shared" si="15"/>
        <v>1</v>
      </c>
      <c r="Q107" s="322"/>
      <c r="S107" s="675"/>
      <c r="T107" s="676"/>
      <c r="U107" s="676"/>
      <c r="V107" s="676"/>
      <c r="W107" s="676"/>
      <c r="X107" s="676"/>
      <c r="Y107" s="676"/>
      <c r="Z107" s="676"/>
      <c r="AA107" s="676"/>
      <c r="AB107" s="676"/>
      <c r="AC107" s="676"/>
      <c r="AD107" s="677"/>
      <c r="AK107" s="367"/>
      <c r="AL107" s="367"/>
    </row>
    <row r="108" spans="1:38" ht="6" customHeight="1" x14ac:dyDescent="0.25">
      <c r="A108" s="317"/>
      <c r="B108" s="310"/>
      <c r="C108" s="306"/>
      <c r="D108" s="306"/>
      <c r="E108" s="306"/>
      <c r="F108" s="306"/>
      <c r="G108" s="306"/>
      <c r="H108" s="306"/>
      <c r="I108" s="306"/>
      <c r="J108" s="331"/>
      <c r="K108" s="337"/>
      <c r="L108" s="306"/>
      <c r="M108" s="306"/>
      <c r="N108" s="306"/>
      <c r="O108" s="306"/>
      <c r="P108" s="306"/>
      <c r="Q108" s="306"/>
      <c r="R108" s="306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K108" s="367"/>
      <c r="AL108" s="367"/>
    </row>
    <row r="109" spans="1:38" ht="12.75" customHeight="1" x14ac:dyDescent="0.25">
      <c r="A109" s="317"/>
      <c r="B109" s="310"/>
      <c r="C109" s="306" t="s">
        <v>403</v>
      </c>
      <c r="D109" s="310"/>
      <c r="E109" s="310"/>
      <c r="F109" s="310"/>
      <c r="G109" s="310"/>
      <c r="H109" s="318"/>
      <c r="I109" s="316"/>
      <c r="J109" s="421"/>
      <c r="K109" s="337"/>
      <c r="L109" s="312">
        <f>IF(P109=1,ROUND(I109/12*BeskGradNyLøn1*(1+PctRegNyLøn%),2),(ROUND((1+PctRegNyLøn%)*I109/12,2)))</f>
        <v>0</v>
      </c>
      <c r="M109" s="313">
        <f>L109*12</f>
        <v>0</v>
      </c>
      <c r="N109" s="322"/>
      <c r="O109" s="596"/>
      <c r="P109" s="592">
        <f t="shared" ref="P109" si="16">IF(O109="x",0,1)</f>
        <v>1</v>
      </c>
      <c r="Q109" s="322"/>
      <c r="S109" s="675"/>
      <c r="T109" s="676"/>
      <c r="U109" s="676"/>
      <c r="V109" s="676"/>
      <c r="W109" s="676"/>
      <c r="X109" s="676"/>
      <c r="Y109" s="676"/>
      <c r="Z109" s="676"/>
      <c r="AA109" s="676"/>
      <c r="AB109" s="676"/>
      <c r="AC109" s="676"/>
      <c r="AD109" s="677"/>
      <c r="AK109" s="367"/>
      <c r="AL109" s="367"/>
    </row>
    <row r="110" spans="1:38" ht="12.75" customHeight="1" x14ac:dyDescent="0.25">
      <c r="A110" s="317"/>
      <c r="B110" s="310"/>
      <c r="C110" s="306" t="s">
        <v>392</v>
      </c>
      <c r="D110" s="310"/>
      <c r="E110" s="310"/>
      <c r="F110" s="310"/>
      <c r="G110" s="310"/>
      <c r="H110" s="318"/>
      <c r="I110" s="316"/>
      <c r="J110" s="421"/>
      <c r="K110" s="337"/>
      <c r="L110" s="312">
        <f>IF(P110=1,ROUND(I110/12*BeskGradNyLøn1*(1+PctRegNyLøn%),2),(ROUND((1+PctRegNyLøn%)*I110/12,2)))</f>
        <v>0</v>
      </c>
      <c r="M110" s="313">
        <f>L110*12</f>
        <v>0</v>
      </c>
      <c r="N110" s="322"/>
      <c r="O110" s="596"/>
      <c r="P110" s="592">
        <f t="shared" ref="P110" si="17">IF(O110="x",0,1)</f>
        <v>1</v>
      </c>
      <c r="Q110" s="322"/>
      <c r="S110" s="675"/>
      <c r="T110" s="676"/>
      <c r="U110" s="676"/>
      <c r="V110" s="676"/>
      <c r="W110" s="676"/>
      <c r="X110" s="676"/>
      <c r="Y110" s="676"/>
      <c r="Z110" s="676"/>
      <c r="AA110" s="676"/>
      <c r="AB110" s="676"/>
      <c r="AC110" s="676"/>
      <c r="AD110" s="677"/>
      <c r="AK110" s="367"/>
      <c r="AL110" s="367"/>
    </row>
    <row r="111" spans="1:38" ht="6" customHeight="1" x14ac:dyDescent="0.25">
      <c r="A111" s="317"/>
      <c r="B111" s="310"/>
      <c r="C111" s="330" t="s">
        <v>388</v>
      </c>
      <c r="D111" s="306"/>
      <c r="E111" s="306"/>
      <c r="F111" s="306"/>
      <c r="G111" s="306"/>
      <c r="H111" s="306"/>
      <c r="I111" s="306"/>
      <c r="J111" s="331"/>
      <c r="K111" s="337"/>
      <c r="L111" s="306"/>
      <c r="M111" s="725" t="s">
        <v>768</v>
      </c>
      <c r="N111" s="725"/>
      <c r="O111" s="725"/>
      <c r="P111" s="725"/>
      <c r="Q111" s="725"/>
      <c r="R111" s="725"/>
      <c r="S111" s="725"/>
      <c r="T111" s="725"/>
      <c r="U111" s="725"/>
      <c r="V111" s="725"/>
      <c r="W111" s="725"/>
      <c r="X111" s="725"/>
      <c r="Y111" s="725"/>
      <c r="Z111" s="725"/>
      <c r="AA111" s="725"/>
      <c r="AB111" s="725"/>
      <c r="AC111" s="725"/>
      <c r="AD111" s="725"/>
      <c r="AE111" s="565"/>
      <c r="AK111" s="367"/>
      <c r="AL111" s="367"/>
    </row>
    <row r="112" spans="1:38" ht="12.75" customHeight="1" x14ac:dyDescent="0.25">
      <c r="A112" s="317"/>
      <c r="B112" s="327" t="s">
        <v>146</v>
      </c>
      <c r="C112" s="310"/>
      <c r="D112" s="310"/>
      <c r="E112" s="310"/>
      <c r="F112" s="310"/>
      <c r="G112" s="310"/>
      <c r="H112" s="310"/>
      <c r="I112" s="310"/>
      <c r="J112" s="308"/>
      <c r="K112" s="337"/>
      <c r="L112" s="310"/>
      <c r="M112" s="725"/>
      <c r="N112" s="725"/>
      <c r="O112" s="725"/>
      <c r="P112" s="725"/>
      <c r="Q112" s="725"/>
      <c r="R112" s="725"/>
      <c r="S112" s="725"/>
      <c r="T112" s="725"/>
      <c r="U112" s="725"/>
      <c r="V112" s="725"/>
      <c r="W112" s="725"/>
      <c r="X112" s="725"/>
      <c r="Y112" s="725"/>
      <c r="Z112" s="725"/>
      <c r="AA112" s="725"/>
      <c r="AB112" s="725"/>
      <c r="AC112" s="725"/>
      <c r="AD112" s="725"/>
      <c r="AE112" s="565"/>
      <c r="AK112" s="367"/>
      <c r="AL112" s="367"/>
    </row>
    <row r="113" spans="1:38" ht="6" customHeight="1" x14ac:dyDescent="0.25">
      <c r="A113" s="317"/>
      <c r="B113" s="310"/>
      <c r="C113" s="330" t="s">
        <v>388</v>
      </c>
      <c r="D113" s="306"/>
      <c r="E113" s="306"/>
      <c r="F113" s="306"/>
      <c r="G113" s="306"/>
      <c r="H113" s="306"/>
      <c r="I113" s="306"/>
      <c r="J113" s="331"/>
      <c r="K113" s="337"/>
      <c r="L113" s="306"/>
      <c r="M113" s="306"/>
      <c r="N113" s="306"/>
      <c r="O113" s="306"/>
      <c r="P113" s="306"/>
      <c r="Q113" s="306"/>
      <c r="R113" s="306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K113" s="367"/>
      <c r="AL113" s="367"/>
    </row>
    <row r="114" spans="1:38" ht="12.75" customHeight="1" x14ac:dyDescent="0.25">
      <c r="A114" s="317"/>
      <c r="B114" s="310"/>
      <c r="C114" s="306" t="s">
        <v>741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ROUND((VLOOKUP($J$92+J97+J100+J101+J102+J103+J114,TabelLøn,+L85,1)-VLOOKUP($J$92+J97+J100+J101+J102+J103,TabelLøn,+L85,1))*R83,2)</f>
        <v>0</v>
      </c>
      <c r="M114" s="313">
        <f t="shared" ref="M114:M119" si="18">L114*12</f>
        <v>0</v>
      </c>
      <c r="N114" s="322"/>
      <c r="O114" s="322"/>
      <c r="P114" s="322"/>
      <c r="Q114" s="322"/>
      <c r="S114" s="675"/>
      <c r="T114" s="676"/>
      <c r="U114" s="676"/>
      <c r="V114" s="676"/>
      <c r="W114" s="676"/>
      <c r="X114" s="676"/>
      <c r="Y114" s="676"/>
      <c r="Z114" s="676"/>
      <c r="AA114" s="676"/>
      <c r="AB114" s="676"/>
      <c r="AC114" s="676"/>
      <c r="AD114" s="677"/>
      <c r="AK114" s="367"/>
      <c r="AL114" s="367"/>
    </row>
    <row r="115" spans="1:38" ht="12.75" customHeight="1" x14ac:dyDescent="0.25">
      <c r="A115" s="317"/>
      <c r="B115" s="310"/>
      <c r="C115" s="306" t="s">
        <v>741</v>
      </c>
      <c r="D115" s="310"/>
      <c r="E115" s="310"/>
      <c r="F115" s="310"/>
      <c r="G115" s="310"/>
      <c r="H115" s="310"/>
      <c r="I115" s="419"/>
      <c r="J115" s="323"/>
      <c r="K115" s="337"/>
      <c r="L115" s="312">
        <f>ROUND((VLOOKUP($J$92+J97+J100+J101+J102+J103+J114+J115,TabelLøn,+L85,1)-VLOOKUP($J$92+J97+J100+J101+J102+J103+J114,TabelLøn,+L85,1))*R83,2)</f>
        <v>0</v>
      </c>
      <c r="M115" s="313">
        <f t="shared" si="18"/>
        <v>0</v>
      </c>
      <c r="N115" s="322"/>
      <c r="O115" s="322"/>
      <c r="P115" s="322"/>
      <c r="Q115" s="322"/>
      <c r="S115" s="675"/>
      <c r="T115" s="676"/>
      <c r="U115" s="676"/>
      <c r="V115" s="676"/>
      <c r="W115" s="676"/>
      <c r="X115" s="676"/>
      <c r="Y115" s="676"/>
      <c r="Z115" s="676"/>
      <c r="AA115" s="676"/>
      <c r="AB115" s="676"/>
      <c r="AC115" s="676"/>
      <c r="AD115" s="677"/>
      <c r="AK115" s="367"/>
      <c r="AL115" s="367"/>
    </row>
    <row r="116" spans="1:38" ht="12.75" customHeight="1" x14ac:dyDescent="0.25">
      <c r="A116" s="317"/>
      <c r="B116" s="310"/>
      <c r="C116" s="306" t="s">
        <v>741</v>
      </c>
      <c r="D116" s="310"/>
      <c r="E116" s="310"/>
      <c r="F116" s="310"/>
      <c r="G116" s="310"/>
      <c r="H116" s="310"/>
      <c r="I116" s="418"/>
      <c r="J116" s="323"/>
      <c r="K116" s="337"/>
      <c r="L116" s="312">
        <f>ROUND((VLOOKUP($J$92+J97+J100+J101+J102+J103+J114+J115+J116,TabelLøn,+L85,1)-VLOOKUP($J$92+J97+J100+J101+J102+J103+J114+J115,TabelLøn,+L85,1))*R83,2)</f>
        <v>0</v>
      </c>
      <c r="M116" s="313">
        <f t="shared" si="18"/>
        <v>0</v>
      </c>
      <c r="N116" s="322"/>
      <c r="O116" s="322"/>
      <c r="P116" s="322"/>
      <c r="Q116" s="322"/>
      <c r="S116" s="675"/>
      <c r="T116" s="676"/>
      <c r="U116" s="676"/>
      <c r="V116" s="676"/>
      <c r="W116" s="676"/>
      <c r="X116" s="676"/>
      <c r="Y116" s="676"/>
      <c r="Z116" s="676"/>
      <c r="AA116" s="676"/>
      <c r="AB116" s="676"/>
      <c r="AC116" s="676"/>
      <c r="AD116" s="677"/>
      <c r="AK116" s="367"/>
      <c r="AL116" s="367"/>
    </row>
    <row r="117" spans="1:38" ht="12.75" customHeight="1" x14ac:dyDescent="0.25">
      <c r="A117" s="306"/>
      <c r="B117" s="310"/>
      <c r="C117" s="306" t="s">
        <v>743</v>
      </c>
      <c r="D117" s="310"/>
      <c r="E117" s="310"/>
      <c r="F117" s="310"/>
      <c r="G117" s="310"/>
      <c r="H117" s="318"/>
      <c r="I117" s="316"/>
      <c r="J117" s="422"/>
      <c r="K117" s="337"/>
      <c r="L117" s="312">
        <f>IF(P117=1,ROUND(I117/12*BeskGradNyLøn1*(1+PctRegNyLøn%),2),(ROUND((1+PctRegNyLøn%)*I117/12,2)))</f>
        <v>0</v>
      </c>
      <c r="M117" s="313">
        <f t="shared" si="18"/>
        <v>0</v>
      </c>
      <c r="N117" s="322"/>
      <c r="O117" s="596"/>
      <c r="P117" s="592">
        <f t="shared" ref="P117:P119" si="19">IF(O117="x",0,1)</f>
        <v>1</v>
      </c>
      <c r="Q117" s="322"/>
      <c r="S117" s="675"/>
      <c r="T117" s="676"/>
      <c r="U117" s="676"/>
      <c r="V117" s="676"/>
      <c r="W117" s="676"/>
      <c r="X117" s="676"/>
      <c r="Y117" s="676"/>
      <c r="Z117" s="676"/>
      <c r="AA117" s="676"/>
      <c r="AB117" s="676"/>
      <c r="AC117" s="676"/>
      <c r="AD117" s="677"/>
      <c r="AK117" s="367"/>
      <c r="AL117" s="367"/>
    </row>
    <row r="118" spans="1:38" ht="12.75" customHeight="1" x14ac:dyDescent="0.25">
      <c r="A118" s="306"/>
      <c r="B118" s="310"/>
      <c r="C118" s="306" t="s">
        <v>743</v>
      </c>
      <c r="D118" s="310"/>
      <c r="E118" s="310"/>
      <c r="F118" s="310"/>
      <c r="G118" s="310"/>
      <c r="H118" s="318"/>
      <c r="I118" s="316"/>
      <c r="J118" s="423"/>
      <c r="K118" s="337"/>
      <c r="L118" s="312">
        <f>IF(P118=1,ROUND(I118/12*BeskGradNyLøn1*(1+PctRegNyLøn%),2),(ROUND((1+PctRegNyLøn%)*I118/12,2)))</f>
        <v>0</v>
      </c>
      <c r="M118" s="313">
        <f t="shared" si="18"/>
        <v>0</v>
      </c>
      <c r="N118" s="322"/>
      <c r="O118" s="596"/>
      <c r="P118" s="592">
        <f t="shared" si="19"/>
        <v>1</v>
      </c>
      <c r="Q118" s="322"/>
      <c r="S118" s="675"/>
      <c r="T118" s="676"/>
      <c r="U118" s="676"/>
      <c r="V118" s="676"/>
      <c r="W118" s="676"/>
      <c r="X118" s="676"/>
      <c r="Y118" s="676"/>
      <c r="Z118" s="676"/>
      <c r="AA118" s="676"/>
      <c r="AB118" s="676"/>
      <c r="AC118" s="676"/>
      <c r="AD118" s="677"/>
      <c r="AK118" s="367"/>
      <c r="AL118" s="367"/>
    </row>
    <row r="119" spans="1:38" ht="12.75" customHeight="1" x14ac:dyDescent="0.25">
      <c r="A119" s="306"/>
      <c r="B119" s="310"/>
      <c r="C119" s="306" t="s">
        <v>743</v>
      </c>
      <c r="D119" s="310"/>
      <c r="E119" s="310"/>
      <c r="F119" s="310"/>
      <c r="G119" s="310"/>
      <c r="H119" s="318"/>
      <c r="I119" s="316"/>
      <c r="J119" s="423"/>
      <c r="K119" s="337"/>
      <c r="L119" s="312">
        <f>IF(P119=1,ROUND(I119/12*BeskGradNyLøn1*(1+PctRegNyLøn%),2),(ROUND((1+PctRegNyLøn%)*I119/12,2)))</f>
        <v>0</v>
      </c>
      <c r="M119" s="313">
        <f t="shared" si="18"/>
        <v>0</v>
      </c>
      <c r="N119" s="322"/>
      <c r="O119" s="596"/>
      <c r="P119" s="592">
        <f t="shared" si="19"/>
        <v>1</v>
      </c>
      <c r="Q119" s="322"/>
      <c r="S119" s="675"/>
      <c r="T119" s="676"/>
      <c r="U119" s="676"/>
      <c r="V119" s="676"/>
      <c r="W119" s="676"/>
      <c r="X119" s="676"/>
      <c r="Y119" s="676"/>
      <c r="Z119" s="676"/>
      <c r="AA119" s="676"/>
      <c r="AB119" s="676"/>
      <c r="AC119" s="676"/>
      <c r="AD119" s="677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K120" s="367"/>
      <c r="AL120" s="367"/>
    </row>
    <row r="121" spans="1:38" ht="12.75" customHeight="1" x14ac:dyDescent="0.25">
      <c r="A121" s="317"/>
      <c r="B121" s="310"/>
      <c r="C121" s="306" t="s">
        <v>401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ROUND((VLOOKUP($J$92+J97+J100+J101+J102+J103+J114+J115+J116+J121,TabelLøn,+L85,1)-VLOOKUP($J$92+J97+J100+J101+J102+J103+J114+J115+J116,TabelLøn,+L85,1))*R83,2)</f>
        <v>0</v>
      </c>
      <c r="M121" s="313">
        <f t="shared" ref="M121:M130" si="20">L121*12</f>
        <v>0</v>
      </c>
      <c r="N121" s="322"/>
      <c r="O121" s="322"/>
      <c r="P121" s="322"/>
      <c r="Q121" s="322"/>
      <c r="S121" s="675"/>
      <c r="T121" s="676"/>
      <c r="U121" s="676"/>
      <c r="V121" s="676"/>
      <c r="W121" s="676"/>
      <c r="X121" s="676"/>
      <c r="Y121" s="676"/>
      <c r="Z121" s="676"/>
      <c r="AA121" s="676"/>
      <c r="AB121" s="676"/>
      <c r="AC121" s="676"/>
      <c r="AD121" s="677"/>
      <c r="AK121" s="367"/>
      <c r="AL121" s="367"/>
    </row>
    <row r="122" spans="1:38" ht="12.75" customHeight="1" x14ac:dyDescent="0.25">
      <c r="A122" s="317"/>
      <c r="B122" s="310"/>
      <c r="C122" s="306" t="s">
        <v>401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ROUND((VLOOKUP($J$92+J97+J100+J101+J102+J103+J114+J115+J116+J121+J122,TabelLøn,+L85,1)-VLOOKUP($J$92+J97+J100+J101+J102+J103+J114+J115+J116+J121,TabelLøn,+L85,1))*R83,2)</f>
        <v>0</v>
      </c>
      <c r="M122" s="313">
        <f t="shared" si="20"/>
        <v>0</v>
      </c>
      <c r="N122" s="322"/>
      <c r="O122" s="322"/>
      <c r="P122" s="322"/>
      <c r="Q122" s="322"/>
      <c r="S122" s="675"/>
      <c r="T122" s="676"/>
      <c r="U122" s="676"/>
      <c r="V122" s="676"/>
      <c r="W122" s="676"/>
      <c r="X122" s="676"/>
      <c r="Y122" s="676"/>
      <c r="Z122" s="676"/>
      <c r="AA122" s="676"/>
      <c r="AB122" s="676"/>
      <c r="AC122" s="676"/>
      <c r="AD122" s="677"/>
      <c r="AK122" s="367"/>
      <c r="AL122" s="367"/>
    </row>
    <row r="123" spans="1:38" ht="12.75" customHeight="1" x14ac:dyDescent="0.25">
      <c r="A123" s="317"/>
      <c r="B123" s="310"/>
      <c r="C123" s="306" t="s">
        <v>401</v>
      </c>
      <c r="D123" s="310"/>
      <c r="E123" s="310"/>
      <c r="F123" s="310"/>
      <c r="G123" s="310"/>
      <c r="H123" s="310"/>
      <c r="I123" s="419"/>
      <c r="J123" s="323"/>
      <c r="K123" s="337"/>
      <c r="L123" s="312">
        <f>ROUND((VLOOKUP($J$92+J97+J100+J101+J102+J103+J114+J115+J116+J121+J122+J123,TabelLøn,+L85,1)-VLOOKUP($J$92+J97+J100+J101+J102+J103+J114+J115+J116+J121+J122,TabelLøn,+L85,1))*R83,2)</f>
        <v>0</v>
      </c>
      <c r="M123" s="313">
        <f t="shared" si="20"/>
        <v>0</v>
      </c>
      <c r="N123" s="322"/>
      <c r="O123" s="322"/>
      <c r="P123" s="322"/>
      <c r="Q123" s="322"/>
      <c r="S123" s="675"/>
      <c r="T123" s="676"/>
      <c r="U123" s="676"/>
      <c r="V123" s="676"/>
      <c r="W123" s="676"/>
      <c r="X123" s="676"/>
      <c r="Y123" s="676"/>
      <c r="Z123" s="676"/>
      <c r="AA123" s="676"/>
      <c r="AB123" s="676"/>
      <c r="AC123" s="676"/>
      <c r="AD123" s="677"/>
      <c r="AK123" s="367"/>
      <c r="AL123" s="367"/>
    </row>
    <row r="124" spans="1:38" ht="12.75" customHeight="1" x14ac:dyDescent="0.25">
      <c r="A124" s="619"/>
      <c r="B124" s="310"/>
      <c r="C124" s="306" t="s">
        <v>401</v>
      </c>
      <c r="D124" s="310"/>
      <c r="E124" s="310"/>
      <c r="F124" s="310"/>
      <c r="G124" s="310"/>
      <c r="H124" s="310"/>
      <c r="I124" s="419"/>
      <c r="J124" s="323"/>
      <c r="K124" s="337"/>
      <c r="L124" s="312">
        <f>ROUND((VLOOKUP($J$92+J97+J100+J101+J102+J103+J114+J115+J116+J121+J122+J123+J124,TabelLøn,+L85,1)-VLOOKUP($J$92+J97+J100+J101+J102+J103+J114+J115+J116+J121+J122+J123,TabelLøn,+L85,1))*R83,2)</f>
        <v>0</v>
      </c>
      <c r="M124" s="313">
        <f t="shared" si="20"/>
        <v>0</v>
      </c>
      <c r="N124" s="322"/>
      <c r="O124" s="322"/>
      <c r="P124" s="322"/>
      <c r="Q124" s="322"/>
      <c r="S124" s="616"/>
      <c r="T124" s="617"/>
      <c r="U124" s="617"/>
      <c r="V124" s="617"/>
      <c r="W124" s="617"/>
      <c r="X124" s="617"/>
      <c r="Y124" s="617"/>
      <c r="Z124" s="617"/>
      <c r="AA124" s="617"/>
      <c r="AB124" s="617"/>
      <c r="AC124" s="617"/>
      <c r="AD124" s="618"/>
      <c r="AK124" s="367"/>
      <c r="AL124" s="367"/>
    </row>
    <row r="125" spans="1:38" ht="12.75" customHeight="1" x14ac:dyDescent="0.25">
      <c r="A125" s="619"/>
      <c r="B125" s="310"/>
      <c r="C125" s="306" t="s">
        <v>401</v>
      </c>
      <c r="D125" s="310"/>
      <c r="E125" s="310"/>
      <c r="F125" s="310"/>
      <c r="G125" s="310"/>
      <c r="H125" s="310"/>
      <c r="I125" s="419"/>
      <c r="J125" s="323"/>
      <c r="K125" s="337"/>
      <c r="L125" s="312">
        <f>ROUND((VLOOKUP($J$92+J97+J100+J101+J102+J103+J114+J115+J116+J121+J122+J123+J124+J125,TabelLøn,+L85,1)-VLOOKUP($J$92+J97+J100+J101+J102+J103+J114+J115+J116+J121+J122+J123+J124,TabelLøn,+L85,1))*R83,2)</f>
        <v>0</v>
      </c>
      <c r="M125" s="313">
        <f t="shared" si="20"/>
        <v>0</v>
      </c>
      <c r="N125" s="322"/>
      <c r="O125" s="322"/>
      <c r="P125" s="322"/>
      <c r="Q125" s="322"/>
      <c r="S125" s="616"/>
      <c r="T125" s="617"/>
      <c r="U125" s="617"/>
      <c r="V125" s="617"/>
      <c r="W125" s="617"/>
      <c r="X125" s="617"/>
      <c r="Y125" s="617"/>
      <c r="Z125" s="617"/>
      <c r="AA125" s="617"/>
      <c r="AB125" s="617"/>
      <c r="AC125" s="617"/>
      <c r="AD125" s="618"/>
      <c r="AK125" s="367"/>
      <c r="AL125" s="367"/>
    </row>
    <row r="126" spans="1:38" ht="12.75" customHeight="1" x14ac:dyDescent="0.25">
      <c r="A126" s="317"/>
      <c r="B126" s="310"/>
      <c r="C126" s="306" t="s">
        <v>401</v>
      </c>
      <c r="D126" s="310"/>
      <c r="E126" s="310"/>
      <c r="F126" s="310"/>
      <c r="G126" s="310"/>
      <c r="H126" s="310"/>
      <c r="I126" s="418"/>
      <c r="J126" s="323"/>
      <c r="K126" s="337"/>
      <c r="L126" s="312">
        <f>ROUND((VLOOKUP($J$92+J97+J100+J101+J102+J103+J114+J115+J116+J121+J122+J123+J124+J125+J126,TabelLøn,+L85,1)-VLOOKUP($J$92+J97+J100+J101+J102+J103+J114+J115+J116+J121+J122+J123+J124+J125,TabelLøn,+L85,1))*R83,2)</f>
        <v>0</v>
      </c>
      <c r="M126" s="313">
        <f t="shared" si="20"/>
        <v>0</v>
      </c>
      <c r="N126" s="322"/>
      <c r="O126" s="322"/>
      <c r="P126" s="322"/>
      <c r="Q126" s="322"/>
      <c r="S126" s="675"/>
      <c r="T126" s="676"/>
      <c r="U126" s="676"/>
      <c r="V126" s="676"/>
      <c r="W126" s="676"/>
      <c r="X126" s="676"/>
      <c r="Y126" s="676"/>
      <c r="Z126" s="676"/>
      <c r="AA126" s="676"/>
      <c r="AB126" s="676"/>
      <c r="AC126" s="676"/>
      <c r="AD126" s="677"/>
      <c r="AK126" s="367"/>
      <c r="AL126" s="367"/>
    </row>
    <row r="127" spans="1:38" ht="12.75" customHeight="1" x14ac:dyDescent="0.25">
      <c r="A127" s="317"/>
      <c r="B127" s="310"/>
      <c r="C127" s="306" t="s">
        <v>402</v>
      </c>
      <c r="D127" s="310"/>
      <c r="E127" s="310"/>
      <c r="F127" s="310"/>
      <c r="G127" s="310"/>
      <c r="H127" s="318"/>
      <c r="I127" s="316"/>
      <c r="J127" s="422"/>
      <c r="K127" s="337"/>
      <c r="L127" s="312">
        <f>IF(P127=1,ROUND(I127/12*BeskGradNyLøn1*(1+PctRegNyLøn%),2),(ROUND((1+PctRegNyLøn%)*I127/12,2)))</f>
        <v>0</v>
      </c>
      <c r="M127" s="313">
        <f t="shared" si="20"/>
        <v>0</v>
      </c>
      <c r="N127" s="322"/>
      <c r="O127" s="596"/>
      <c r="P127" s="592">
        <f t="shared" ref="P127:P130" si="21">IF(O127="x",0,1)</f>
        <v>1</v>
      </c>
      <c r="Q127" s="322"/>
      <c r="S127" s="675"/>
      <c r="T127" s="676"/>
      <c r="U127" s="676"/>
      <c r="V127" s="676"/>
      <c r="W127" s="676"/>
      <c r="X127" s="676"/>
      <c r="Y127" s="676"/>
      <c r="Z127" s="676"/>
      <c r="AA127" s="676"/>
      <c r="AB127" s="676"/>
      <c r="AC127" s="676"/>
      <c r="AD127" s="677"/>
      <c r="AK127" s="367"/>
      <c r="AL127" s="367"/>
    </row>
    <row r="128" spans="1:38" ht="12.75" customHeight="1" x14ac:dyDescent="0.25">
      <c r="A128" s="317"/>
      <c r="B128" s="310"/>
      <c r="C128" s="306" t="s">
        <v>402</v>
      </c>
      <c r="D128" s="310"/>
      <c r="E128" s="310"/>
      <c r="F128" s="310"/>
      <c r="G128" s="310"/>
      <c r="H128" s="318"/>
      <c r="I128" s="316"/>
      <c r="J128" s="423"/>
      <c r="K128" s="337"/>
      <c r="L128" s="312">
        <f>IF(P128=1,ROUND(I128/12*BeskGradNyLøn1*(1+PctRegNyLøn%),2),(ROUND((1+PctRegNyLøn%)*I128/12,2)))</f>
        <v>0</v>
      </c>
      <c r="M128" s="313">
        <f t="shared" si="20"/>
        <v>0</v>
      </c>
      <c r="N128" s="322"/>
      <c r="O128" s="596"/>
      <c r="P128" s="592">
        <f t="shared" si="21"/>
        <v>1</v>
      </c>
      <c r="Q128" s="322"/>
      <c r="S128" s="675"/>
      <c r="T128" s="676"/>
      <c r="U128" s="676"/>
      <c r="V128" s="676"/>
      <c r="W128" s="676"/>
      <c r="X128" s="676"/>
      <c r="Y128" s="676"/>
      <c r="Z128" s="676"/>
      <c r="AA128" s="676"/>
      <c r="AB128" s="676"/>
      <c r="AC128" s="676"/>
      <c r="AD128" s="677"/>
      <c r="AK128" s="367"/>
      <c r="AL128" s="367"/>
    </row>
    <row r="129" spans="1:38" ht="12.75" customHeight="1" x14ac:dyDescent="0.25">
      <c r="A129" s="317"/>
      <c r="B129" s="310"/>
      <c r="C129" s="306" t="s">
        <v>402</v>
      </c>
      <c r="D129" s="310"/>
      <c r="E129" s="310"/>
      <c r="F129" s="310"/>
      <c r="G129" s="310"/>
      <c r="H129" s="318"/>
      <c r="I129" s="316"/>
      <c r="J129" s="423"/>
      <c r="K129" s="337"/>
      <c r="L129" s="312">
        <f>IF(P129=1,ROUND(I129/12*BeskGradNyLøn1*(1+PctRegNyLøn%),2),(ROUND((1+PctRegNyLøn%)*I129/12,2)))</f>
        <v>0</v>
      </c>
      <c r="M129" s="313">
        <f t="shared" si="20"/>
        <v>0</v>
      </c>
      <c r="N129" s="322"/>
      <c r="O129" s="596"/>
      <c r="P129" s="592">
        <f t="shared" si="21"/>
        <v>1</v>
      </c>
      <c r="Q129" s="322"/>
      <c r="S129" s="675"/>
      <c r="T129" s="676"/>
      <c r="U129" s="676"/>
      <c r="V129" s="676"/>
      <c r="W129" s="676"/>
      <c r="X129" s="676"/>
      <c r="Y129" s="676"/>
      <c r="Z129" s="676"/>
      <c r="AA129" s="676"/>
      <c r="AB129" s="676"/>
      <c r="AC129" s="676"/>
      <c r="AD129" s="677"/>
      <c r="AK129" s="367"/>
      <c r="AL129" s="367"/>
    </row>
    <row r="130" spans="1:38" ht="12.75" customHeight="1" x14ac:dyDescent="0.25">
      <c r="A130" s="317"/>
      <c r="B130" s="310"/>
      <c r="C130" s="306" t="s">
        <v>402</v>
      </c>
      <c r="D130" s="310"/>
      <c r="E130" s="310"/>
      <c r="F130" s="310"/>
      <c r="G130" s="310"/>
      <c r="H130" s="318"/>
      <c r="I130" s="316"/>
      <c r="J130" s="423"/>
      <c r="K130" s="337"/>
      <c r="L130" s="312">
        <f>IF(P130=1,ROUND(I130/12*BeskGradNyLøn1*(1+PctRegNyLøn%),2),(ROUND((1+PctRegNyLøn%)*I130/12,2)))</f>
        <v>0</v>
      </c>
      <c r="M130" s="313">
        <f t="shared" si="20"/>
        <v>0</v>
      </c>
      <c r="N130" s="322"/>
      <c r="O130" s="596"/>
      <c r="P130" s="592">
        <f t="shared" si="21"/>
        <v>1</v>
      </c>
      <c r="Q130" s="322"/>
      <c r="S130" s="675"/>
      <c r="T130" s="676"/>
      <c r="U130" s="676"/>
      <c r="V130" s="676"/>
      <c r="W130" s="676"/>
      <c r="X130" s="676"/>
      <c r="Y130" s="676"/>
      <c r="Z130" s="676"/>
      <c r="AA130" s="676"/>
      <c r="AB130" s="676"/>
      <c r="AC130" s="676"/>
      <c r="AD130" s="677"/>
      <c r="AK130" s="367"/>
      <c r="AL130" s="367"/>
    </row>
    <row r="131" spans="1:38" ht="6" customHeight="1" x14ac:dyDescent="0.25">
      <c r="A131" s="598"/>
      <c r="B131" s="310"/>
      <c r="C131" s="306"/>
      <c r="D131" s="306"/>
      <c r="E131" s="306"/>
      <c r="F131" s="306"/>
      <c r="G131" s="306"/>
      <c r="H131" s="306"/>
      <c r="I131" s="306"/>
      <c r="J131" s="331"/>
      <c r="K131" s="337"/>
      <c r="L131" s="306"/>
      <c r="M131" s="306"/>
      <c r="N131" s="306"/>
      <c r="O131" s="306"/>
      <c r="P131" s="306"/>
      <c r="Q131" s="306"/>
      <c r="R131" s="306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K131" s="367"/>
      <c r="AL131" s="367"/>
    </row>
    <row r="132" spans="1:38" ht="12.75" customHeight="1" x14ac:dyDescent="0.25">
      <c r="A132" s="598"/>
      <c r="B132" s="599" t="s">
        <v>404</v>
      </c>
      <c r="C132" s="600"/>
      <c r="D132" s="600"/>
      <c r="E132" s="600"/>
      <c r="F132" s="600"/>
      <c r="G132" s="600"/>
      <c r="H132" s="601"/>
      <c r="I132" s="316"/>
      <c r="J132" s="323"/>
      <c r="K132" s="337"/>
      <c r="L132" s="312">
        <f>IF(P132=1,ROUND(I132/12*BeskGradNyLøn*(1+PctRegNyLøn%),2),(ROUND((1+PctRegNyLøn%)*I132/12,2)))+ROUND((VLOOKUP($J$92+J97+J100+J101+J102+J103+J114+J115+J116+J121+J122+J123+J126+J132,TabelLøn,+L85,1)-VLOOKUP($J$92+J97+J100+J101+J102+J103+J114+J115+J116+J121+J122+J123+J126,TabelLøn,+L85,1))*R83,2)</f>
        <v>0</v>
      </c>
      <c r="M132" s="313">
        <f>L132*12</f>
        <v>0</v>
      </c>
      <c r="N132" s="322"/>
      <c r="O132" s="596"/>
      <c r="P132" s="592">
        <f t="shared" ref="P132:P133" si="22">IF(O132="x",0,1)</f>
        <v>1</v>
      </c>
      <c r="Q132" s="322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K132" s="367"/>
      <c r="AL132" s="367"/>
    </row>
    <row r="133" spans="1:38" ht="12.75" customHeight="1" x14ac:dyDescent="0.25">
      <c r="A133" s="598"/>
      <c r="B133" s="599" t="s">
        <v>405</v>
      </c>
      <c r="C133" s="600"/>
      <c r="D133" s="600"/>
      <c r="E133" s="600"/>
      <c r="F133" s="600"/>
      <c r="G133" s="600"/>
      <c r="H133" s="601"/>
      <c r="I133" s="316"/>
      <c r="J133" s="331"/>
      <c r="K133" s="337"/>
      <c r="L133" s="312">
        <f>IF(P133=1,ROUND(I133/12*BeskGradNyLøn*(1+PctRegNyLøn%),2),(ROUND((1+PctRegNyLøn%)*I133/12,2)))</f>
        <v>0</v>
      </c>
      <c r="M133" s="313">
        <f>L133*12</f>
        <v>0</v>
      </c>
      <c r="N133" s="322"/>
      <c r="O133" s="596"/>
      <c r="P133" s="592">
        <f t="shared" si="22"/>
        <v>1</v>
      </c>
      <c r="Q133" s="322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K133" s="367"/>
      <c r="AL133" s="367"/>
    </row>
    <row r="134" spans="1:38" ht="6" customHeight="1" x14ac:dyDescent="0.25">
      <c r="A134" s="598"/>
      <c r="B134" s="310"/>
      <c r="C134" s="306"/>
      <c r="D134" s="306"/>
      <c r="E134" s="306"/>
      <c r="F134" s="306"/>
      <c r="G134" s="306"/>
      <c r="H134" s="306"/>
      <c r="I134" s="306"/>
      <c r="J134" s="331"/>
      <c r="K134" s="337"/>
      <c r="L134" s="306"/>
      <c r="M134" s="306"/>
      <c r="N134" s="306"/>
      <c r="O134" s="306"/>
      <c r="P134" s="306"/>
      <c r="Q134" s="306"/>
      <c r="R134" s="306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K134" s="367"/>
      <c r="AL134" s="367"/>
    </row>
    <row r="135" spans="1:38" ht="12.75" customHeight="1" x14ac:dyDescent="0.25">
      <c r="A135" s="598"/>
      <c r="B135" s="599" t="s">
        <v>406</v>
      </c>
      <c r="C135" s="600"/>
      <c r="D135" s="600"/>
      <c r="E135" s="600"/>
      <c r="F135" s="600"/>
      <c r="G135" s="600"/>
      <c r="H135" s="601"/>
      <c r="I135" s="316"/>
      <c r="J135" s="423"/>
      <c r="K135" s="337"/>
      <c r="L135" s="312">
        <f>IF(P135=1,ROUND(I135/12*BeskGradNyLøn*(1+PctRegNyLøn%),2),(ROUND((1+PctRegNyLøn%)*I135/12,2)))</f>
        <v>0</v>
      </c>
      <c r="M135" s="313">
        <f>L135*12</f>
        <v>0</v>
      </c>
      <c r="N135" s="322"/>
      <c r="O135" s="596"/>
      <c r="P135" s="592">
        <f t="shared" ref="P135" si="23">IF(O135="x",0,1)</f>
        <v>1</v>
      </c>
      <c r="Q135" s="322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K135" s="367"/>
      <c r="AL135" s="367"/>
    </row>
    <row r="136" spans="1:38" ht="12.75" customHeight="1" x14ac:dyDescent="0.25">
      <c r="A136" s="598"/>
      <c r="B136" s="310"/>
      <c r="C136" s="306"/>
      <c r="D136" s="306"/>
      <c r="E136" s="306"/>
      <c r="F136" s="306"/>
      <c r="G136" s="306"/>
      <c r="H136" s="306"/>
      <c r="I136" s="306"/>
      <c r="J136" s="331"/>
      <c r="K136" s="337"/>
      <c r="L136" s="306"/>
      <c r="M136" s="306"/>
      <c r="N136" s="306"/>
      <c r="O136" s="306"/>
      <c r="P136" s="306"/>
      <c r="Q136" s="306"/>
      <c r="R136" s="306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K136" s="367"/>
      <c r="AL136" s="367"/>
    </row>
    <row r="137" spans="1:38" ht="12.75" customHeight="1" x14ac:dyDescent="0.25">
      <c r="A137" s="598"/>
      <c r="B137" s="600" t="s">
        <v>411</v>
      </c>
      <c r="C137" s="320"/>
      <c r="D137" s="320"/>
      <c r="E137" s="320"/>
      <c r="F137" s="320"/>
      <c r="G137" s="320"/>
      <c r="H137" s="321"/>
      <c r="I137" s="360">
        <f>SUM(I92:I135)</f>
        <v>0</v>
      </c>
      <c r="J137" s="361">
        <f>SUM(J92:J135)</f>
        <v>0</v>
      </c>
      <c r="K137" s="337"/>
      <c r="L137" s="344">
        <f>SUM(L92:L135)</f>
        <v>0</v>
      </c>
      <c r="M137" s="313">
        <f>SUM(M92:M135)</f>
        <v>0</v>
      </c>
      <c r="N137" s="322"/>
      <c r="O137" s="322"/>
      <c r="P137" s="322"/>
      <c r="Q137" s="322"/>
      <c r="U137" s="319"/>
      <c r="V137" s="319"/>
      <c r="AK137" s="367"/>
      <c r="AL137" s="367"/>
    </row>
    <row r="138" spans="1:38" ht="6" customHeight="1" x14ac:dyDescent="0.25">
      <c r="A138" s="598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19"/>
      <c r="V138" s="319"/>
      <c r="W138" s="335"/>
      <c r="X138" s="335"/>
      <c r="Y138" s="335"/>
      <c r="Z138" s="335"/>
      <c r="AA138" s="335"/>
      <c r="AB138" s="335"/>
      <c r="AC138" s="335"/>
      <c r="AD138" s="335"/>
      <c r="AK138" s="367"/>
      <c r="AL138" s="367"/>
    </row>
    <row r="139" spans="1:38" ht="12.75" customHeight="1" x14ac:dyDescent="0.25">
      <c r="A139" s="598"/>
      <c r="B139" s="599" t="s">
        <v>412</v>
      </c>
      <c r="C139" s="599" t="s">
        <v>22</v>
      </c>
      <c r="D139" s="310"/>
      <c r="E139" s="310"/>
      <c r="F139" s="310"/>
      <c r="G139" s="310"/>
      <c r="H139" s="310"/>
      <c r="I139" s="342"/>
      <c r="J139" s="331"/>
      <c r="K139" s="337"/>
      <c r="L139" s="312">
        <f>ROUND(VLOOKUP(J137,TabelLønninger,+M85,2)*I86/100/12*(I83/M83),2)+(+I86/100*(L93+L98+L104+L105+L106+L107+L117+L119+L118+L127+L128+L129+L130+L132+L135))</f>
        <v>0</v>
      </c>
      <c r="M139" s="313">
        <f>L139*12</f>
        <v>0</v>
      </c>
      <c r="N139" s="322"/>
      <c r="O139" s="322"/>
      <c r="P139" s="322"/>
      <c r="Q139" s="322"/>
      <c r="U139" s="319"/>
      <c r="V139" s="319"/>
      <c r="AK139" s="367"/>
      <c r="AL139" s="367"/>
    </row>
    <row r="140" spans="1:38" ht="12.75" customHeight="1" x14ac:dyDescent="0.25">
      <c r="A140" s="598"/>
      <c r="B140" s="600" t="s">
        <v>407</v>
      </c>
      <c r="C140" s="599"/>
      <c r="D140" s="320"/>
      <c r="E140" s="320"/>
      <c r="F140" s="320"/>
      <c r="G140" s="320"/>
      <c r="H140" s="320"/>
      <c r="I140" s="342"/>
      <c r="J140" s="362"/>
      <c r="K140" s="343"/>
      <c r="L140" s="344">
        <f>SUM(L137:L139)</f>
        <v>0</v>
      </c>
      <c r="M140" s="345">
        <f>SUM(M137:M139)</f>
        <v>0</v>
      </c>
      <c r="N140" s="363"/>
      <c r="O140" s="363"/>
      <c r="P140" s="363"/>
      <c r="Q140" s="363"/>
      <c r="U140" s="322"/>
      <c r="V140" s="322"/>
      <c r="AK140" s="367"/>
      <c r="AL140" s="367"/>
    </row>
    <row r="141" spans="1:38" ht="12.75" customHeight="1" x14ac:dyDescent="0.25">
      <c r="A141" s="598"/>
      <c r="B141" s="600"/>
      <c r="C141" s="599"/>
      <c r="D141" s="320"/>
      <c r="E141" s="320"/>
      <c r="F141" s="320"/>
      <c r="G141" s="320"/>
      <c r="H141" s="320"/>
      <c r="I141" s="342"/>
      <c r="J141" s="362"/>
      <c r="K141" s="362"/>
      <c r="L141" s="363"/>
      <c r="M141" s="363"/>
      <c r="N141" s="363"/>
      <c r="O141" s="363"/>
      <c r="P141" s="363"/>
      <c r="Q141" s="363"/>
      <c r="U141" s="322"/>
      <c r="V141" s="322"/>
      <c r="AK141" s="367"/>
      <c r="AL141" s="367"/>
    </row>
    <row r="142" spans="1:38" ht="12" customHeight="1" x14ac:dyDescent="0.25">
      <c r="A142" s="598"/>
      <c r="AK142" s="367"/>
      <c r="AL142" s="367"/>
    </row>
    <row r="143" spans="1:38" ht="12" customHeight="1" x14ac:dyDescent="0.25">
      <c r="A143" s="396"/>
      <c r="B143" s="377"/>
      <c r="C143" s="679" t="s">
        <v>431</v>
      </c>
      <c r="D143" s="679"/>
      <c r="E143" s="679"/>
      <c r="F143" s="679"/>
      <c r="G143" s="679"/>
      <c r="H143" s="679"/>
      <c r="I143" s="679"/>
      <c r="J143" s="679"/>
      <c r="K143" s="679"/>
      <c r="L143" s="679"/>
      <c r="M143" s="679"/>
      <c r="N143" s="679"/>
      <c r="O143" s="679"/>
      <c r="P143" s="679"/>
      <c r="Q143" s="679"/>
      <c r="R143" s="679"/>
      <c r="S143" s="679"/>
      <c r="T143" s="679"/>
      <c r="U143" s="679"/>
      <c r="V143" s="679"/>
      <c r="W143" s="679"/>
      <c r="X143" s="679"/>
      <c r="Y143" s="679"/>
      <c r="Z143" s="679"/>
      <c r="AA143" s="679"/>
      <c r="AB143" s="679"/>
      <c r="AC143" s="679"/>
      <c r="AD143" s="377"/>
      <c r="AE143" s="378"/>
      <c r="AK143" s="367"/>
      <c r="AL143" s="367"/>
    </row>
    <row r="144" spans="1:38" ht="12" customHeight="1" x14ac:dyDescent="0.25">
      <c r="A144" s="397"/>
      <c r="B144" s="306"/>
      <c r="C144" s="680"/>
      <c r="D144" s="680"/>
      <c r="E144" s="680"/>
      <c r="F144" s="680"/>
      <c r="G144" s="680"/>
      <c r="H144" s="680"/>
      <c r="I144" s="680"/>
      <c r="J144" s="680"/>
      <c r="K144" s="680"/>
      <c r="L144" s="680"/>
      <c r="M144" s="680"/>
      <c r="N144" s="680"/>
      <c r="O144" s="680"/>
      <c r="P144" s="680"/>
      <c r="Q144" s="680"/>
      <c r="R144" s="680"/>
      <c r="S144" s="680"/>
      <c r="T144" s="680"/>
      <c r="U144" s="680"/>
      <c r="V144" s="680"/>
      <c r="W144" s="680"/>
      <c r="X144" s="680"/>
      <c r="Y144" s="680"/>
      <c r="Z144" s="680"/>
      <c r="AA144" s="680"/>
      <c r="AB144" s="680"/>
      <c r="AC144" s="680"/>
      <c r="AD144" s="306"/>
      <c r="AE144" s="384"/>
      <c r="AK144" s="367"/>
      <c r="AL144" s="367"/>
    </row>
    <row r="145" spans="1:38" ht="12" customHeight="1" x14ac:dyDescent="0.25">
      <c r="A145" s="397"/>
      <c r="B145" s="306"/>
      <c r="C145" s="306"/>
      <c r="D145" s="306"/>
      <c r="E145" s="306"/>
      <c r="F145" s="306"/>
      <c r="G145" s="306"/>
      <c r="H145" s="306"/>
      <c r="I145" s="306"/>
      <c r="J145" s="331"/>
      <c r="K145" s="331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84"/>
      <c r="AK145" s="367"/>
      <c r="AL145" s="367"/>
    </row>
    <row r="146" spans="1:38" ht="12.75" customHeight="1" x14ac:dyDescent="0.25">
      <c r="A146" s="379"/>
      <c r="B146" s="306"/>
      <c r="C146" s="404" t="s">
        <v>436</v>
      </c>
      <c r="D146" s="306"/>
      <c r="E146" s="306"/>
      <c r="F146" s="306"/>
      <c r="G146" s="306"/>
      <c r="H146" s="306"/>
      <c r="I146" s="306"/>
      <c r="J146" s="331"/>
      <c r="K146" s="331"/>
      <c r="L146" s="408">
        <f>+L63-L137</f>
        <v>0</v>
      </c>
      <c r="M146" s="404" t="s">
        <v>429</v>
      </c>
      <c r="N146" s="404"/>
      <c r="O146" s="404"/>
      <c r="P146" s="404"/>
      <c r="Q146" s="404"/>
      <c r="R146" s="404"/>
      <c r="S146" s="406"/>
      <c r="T146" s="461"/>
      <c r="U146" s="673">
        <f>+L146*12</f>
        <v>0</v>
      </c>
      <c r="V146" s="673"/>
      <c r="W146" s="673"/>
      <c r="X146" s="673"/>
      <c r="Y146" s="673"/>
      <c r="Z146" s="406"/>
      <c r="AA146" s="406" t="s">
        <v>430</v>
      </c>
      <c r="AB146" s="406"/>
      <c r="AC146" s="406"/>
      <c r="AD146" s="306"/>
      <c r="AE146" s="384"/>
      <c r="AK146" s="367"/>
      <c r="AL146" s="367"/>
    </row>
    <row r="147" spans="1:38" ht="6.75" customHeight="1" x14ac:dyDescent="0.25">
      <c r="A147" s="379"/>
      <c r="B147" s="306"/>
      <c r="C147" s="404"/>
      <c r="D147" s="306"/>
      <c r="E147" s="306"/>
      <c r="F147" s="306"/>
      <c r="G147" s="306"/>
      <c r="H147" s="306"/>
      <c r="I147" s="306"/>
      <c r="J147" s="331"/>
      <c r="K147" s="331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7"/>
      <c r="W147" s="407"/>
      <c r="X147" s="407"/>
      <c r="Y147" s="407"/>
      <c r="Z147" s="406"/>
      <c r="AA147" s="406"/>
      <c r="AB147" s="406"/>
      <c r="AC147" s="406"/>
      <c r="AD147" s="306"/>
      <c r="AE147" s="384"/>
      <c r="AK147" s="367"/>
      <c r="AL147" s="367"/>
    </row>
    <row r="148" spans="1:38" s="352" customFormat="1" ht="12.75" customHeight="1" x14ac:dyDescent="0.25">
      <c r="A148" s="398"/>
      <c r="B148" s="306"/>
      <c r="C148" s="404" t="s">
        <v>437</v>
      </c>
      <c r="D148" s="306"/>
      <c r="E148" s="306"/>
      <c r="F148" s="306"/>
      <c r="G148" s="306"/>
      <c r="H148" s="306"/>
      <c r="I148" s="306"/>
      <c r="J148" s="331"/>
      <c r="K148" s="331"/>
      <c r="L148" s="405">
        <f>+L65-L139</f>
        <v>0</v>
      </c>
      <c r="M148" s="406" t="s">
        <v>429</v>
      </c>
      <c r="N148" s="406"/>
      <c r="O148" s="406"/>
      <c r="P148" s="406"/>
      <c r="Q148" s="406"/>
      <c r="R148" s="406"/>
      <c r="S148" s="406"/>
      <c r="T148" s="406"/>
      <c r="U148" s="673">
        <f>+L148*12</f>
        <v>0</v>
      </c>
      <c r="V148" s="673"/>
      <c r="W148" s="673"/>
      <c r="X148" s="673"/>
      <c r="Y148" s="673"/>
      <c r="Z148" s="406"/>
      <c r="AA148" s="406" t="s">
        <v>430</v>
      </c>
      <c r="AB148" s="406"/>
      <c r="AC148" s="406"/>
      <c r="AD148" s="306"/>
      <c r="AE148" s="399"/>
      <c r="AF148" s="455"/>
      <c r="AG148" s="453"/>
      <c r="AH148" s="453"/>
      <c r="AI148" s="453"/>
      <c r="AJ148" s="453"/>
      <c r="AK148" s="369"/>
      <c r="AL148" s="369"/>
    </row>
    <row r="149" spans="1:38" ht="21" customHeight="1" x14ac:dyDescent="0.25">
      <c r="A149" s="379"/>
      <c r="B149" s="306"/>
      <c r="C149" s="404" t="s">
        <v>428</v>
      </c>
      <c r="D149" s="306"/>
      <c r="E149" s="306"/>
      <c r="F149" s="306"/>
      <c r="G149" s="306"/>
      <c r="H149" s="306"/>
      <c r="I149" s="306"/>
      <c r="J149" s="331"/>
      <c r="K149" s="331"/>
      <c r="L149" s="405">
        <f>+L66-L140</f>
        <v>0</v>
      </c>
      <c r="M149" s="406" t="s">
        <v>429</v>
      </c>
      <c r="N149" s="406"/>
      <c r="O149" s="406"/>
      <c r="P149" s="406"/>
      <c r="Q149" s="406"/>
      <c r="R149" s="406"/>
      <c r="S149" s="406"/>
      <c r="T149" s="406"/>
      <c r="U149" s="674">
        <f>+L149*12</f>
        <v>0</v>
      </c>
      <c r="V149" s="674"/>
      <c r="W149" s="674"/>
      <c r="X149" s="674"/>
      <c r="Y149" s="674"/>
      <c r="Z149" s="404"/>
      <c r="AA149" s="404" t="s">
        <v>430</v>
      </c>
      <c r="AB149" s="404"/>
      <c r="AC149" s="404"/>
      <c r="AD149" s="306"/>
      <c r="AE149" s="384"/>
      <c r="AK149" s="367"/>
      <c r="AL149" s="367"/>
    </row>
    <row r="150" spans="1:38" ht="17.25" customHeight="1" x14ac:dyDescent="0.25">
      <c r="A150" s="400"/>
      <c r="B150" s="401"/>
      <c r="C150" s="401"/>
      <c r="D150" s="401"/>
      <c r="E150" s="401"/>
      <c r="F150" s="401"/>
      <c r="G150" s="401"/>
      <c r="H150" s="401"/>
      <c r="I150" s="401"/>
      <c r="J150" s="402"/>
      <c r="K150" s="402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3"/>
      <c r="AK150" s="367"/>
      <c r="AL150" s="367"/>
    </row>
  </sheetData>
  <sheetProtection password="CF28" sheet="1" objects="1" scenarios="1"/>
  <customSheetViews>
    <customSheetView guid="{40555330-83BF-42FA-97D0-8A355A41C0A0}" scale="130" printArea="1" hiddenRows="1" hiddenColumns="1" showRuler="0" topLeftCell="A31">
      <selection activeCell="A53" sqref="A53:H5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73">
    <mergeCell ref="S126:AD126"/>
    <mergeCell ref="S119:AD119"/>
    <mergeCell ref="S121:AD121"/>
    <mergeCell ref="S123:AD123"/>
    <mergeCell ref="S117:AD117"/>
    <mergeCell ref="S122:AD122"/>
    <mergeCell ref="S116:AD116"/>
    <mergeCell ref="M73:AD73"/>
    <mergeCell ref="L75:W75"/>
    <mergeCell ref="M111:AD112"/>
    <mergeCell ref="T89:AC93"/>
    <mergeCell ref="W86:AD86"/>
    <mergeCell ref="I81:M81"/>
    <mergeCell ref="A79:M79"/>
    <mergeCell ref="Y88:AC88"/>
    <mergeCell ref="I82:M82"/>
    <mergeCell ref="S118:AD118"/>
    <mergeCell ref="N97:R97"/>
    <mergeCell ref="B68:H68"/>
    <mergeCell ref="I68:AD68"/>
    <mergeCell ref="B69:AD70"/>
    <mergeCell ref="B11:F11"/>
    <mergeCell ref="B15:G16"/>
    <mergeCell ref="V6:AC6"/>
    <mergeCell ref="V11:AC11"/>
    <mergeCell ref="O84:O96"/>
    <mergeCell ref="I8:M8"/>
    <mergeCell ref="V8:AC8"/>
    <mergeCell ref="V10:AC10"/>
    <mergeCell ref="S46:AD46"/>
    <mergeCell ref="S42:AD42"/>
    <mergeCell ref="S48:AD48"/>
    <mergeCell ref="S47:AD47"/>
    <mergeCell ref="S44:AD44"/>
    <mergeCell ref="M36:AD37"/>
    <mergeCell ref="N22:R22"/>
    <mergeCell ref="S49:AD49"/>
    <mergeCell ref="O9:O21"/>
    <mergeCell ref="Y4:AC4"/>
    <mergeCell ref="I9:L9"/>
    <mergeCell ref="B13:F14"/>
    <mergeCell ref="S26:AD26"/>
    <mergeCell ref="S23:AD23"/>
    <mergeCell ref="Y13:AC13"/>
    <mergeCell ref="E73:K73"/>
    <mergeCell ref="I80:M80"/>
    <mergeCell ref="S27:AD27"/>
    <mergeCell ref="S35:AD35"/>
    <mergeCell ref="S30:AD30"/>
    <mergeCell ref="S34:AD34"/>
    <mergeCell ref="S28:AD28"/>
    <mergeCell ref="S29:AD29"/>
    <mergeCell ref="S32:AD32"/>
    <mergeCell ref="S25:AD25"/>
    <mergeCell ref="S22:AD22"/>
    <mergeCell ref="B74:K74"/>
    <mergeCell ref="S40:AD40"/>
    <mergeCell ref="S31:AD31"/>
    <mergeCell ref="S54:AD54"/>
    <mergeCell ref="S55:AD55"/>
    <mergeCell ref="S41:AD41"/>
    <mergeCell ref="S52:AD52"/>
    <mergeCell ref="S128:AD128"/>
    <mergeCell ref="S127:AD127"/>
    <mergeCell ref="S39:AD39"/>
    <mergeCell ref="R19:AE20"/>
    <mergeCell ref="M1:AE2"/>
    <mergeCell ref="S109:AD109"/>
    <mergeCell ref="S110:AD110"/>
    <mergeCell ref="S100:AD100"/>
    <mergeCell ref="S101:AD101"/>
    <mergeCell ref="S102:AD102"/>
    <mergeCell ref="S103:AD103"/>
    <mergeCell ref="S43:AD43"/>
    <mergeCell ref="S50:AD50"/>
    <mergeCell ref="S56:AD56"/>
    <mergeCell ref="A3:M3"/>
    <mergeCell ref="I4:M4"/>
    <mergeCell ref="I5:M5"/>
    <mergeCell ref="I6:M6"/>
    <mergeCell ref="B4:G4"/>
    <mergeCell ref="B5:G5"/>
    <mergeCell ref="B6:G6"/>
    <mergeCell ref="V7:AC7"/>
    <mergeCell ref="B8:G8"/>
    <mergeCell ref="T14:AC18"/>
    <mergeCell ref="U146:Y146"/>
    <mergeCell ref="U148:Y148"/>
    <mergeCell ref="U149:Y149"/>
    <mergeCell ref="AG32:AH32"/>
    <mergeCell ref="AG34:AH34"/>
    <mergeCell ref="AG39:AH39"/>
    <mergeCell ref="AG55:AH55"/>
    <mergeCell ref="S105:AD105"/>
    <mergeCell ref="S106:AD106"/>
    <mergeCell ref="S107:AD107"/>
    <mergeCell ref="S129:AD129"/>
    <mergeCell ref="S97:AD97"/>
    <mergeCell ref="S94:AD95"/>
    <mergeCell ref="S104:AD104"/>
    <mergeCell ref="S98:AD98"/>
    <mergeCell ref="S130:AD130"/>
    <mergeCell ref="S115:AD115"/>
    <mergeCell ref="S114:AD114"/>
    <mergeCell ref="C143:AC144"/>
    <mergeCell ref="B81:G81"/>
    <mergeCell ref="B80:G80"/>
    <mergeCell ref="M77:AE78"/>
    <mergeCell ref="C71:I72"/>
    <mergeCell ref="B75:I75"/>
    <mergeCell ref="AG4:AG5"/>
    <mergeCell ref="AG7:AG8"/>
    <mergeCell ref="AG24:AH24"/>
    <mergeCell ref="AG19:AH19"/>
    <mergeCell ref="AG11:AH11"/>
    <mergeCell ref="AI7:AJ9"/>
    <mergeCell ref="AI20:AJ20"/>
    <mergeCell ref="AI13:AJ13"/>
    <mergeCell ref="AG17:AH17"/>
    <mergeCell ref="AG20:AH20"/>
    <mergeCell ref="AI24:AJ24"/>
    <mergeCell ref="AI19:AJ19"/>
    <mergeCell ref="AI22:AJ22"/>
    <mergeCell ref="AG13:AH13"/>
    <mergeCell ref="AG15:AH15"/>
    <mergeCell ref="AI4:AJ6"/>
    <mergeCell ref="AI17:AJ17"/>
    <mergeCell ref="AI11:AJ11"/>
    <mergeCell ref="AG22:AH22"/>
    <mergeCell ref="AI15:AJ15"/>
    <mergeCell ref="AG28:AH28"/>
    <mergeCell ref="AI27:AJ27"/>
    <mergeCell ref="AI29:AJ29"/>
    <mergeCell ref="AI25:AJ25"/>
    <mergeCell ref="AG23:AH23"/>
    <mergeCell ref="AI23:AJ23"/>
    <mergeCell ref="AG25:AH25"/>
    <mergeCell ref="AI28:AJ28"/>
    <mergeCell ref="AG27:AH27"/>
    <mergeCell ref="AI26:AJ26"/>
    <mergeCell ref="AG26:AH26"/>
    <mergeCell ref="AG31:AH31"/>
    <mergeCell ref="AI31:AJ31"/>
    <mergeCell ref="AI48:AJ48"/>
    <mergeCell ref="AG30:AH30"/>
    <mergeCell ref="AI37:AJ37"/>
    <mergeCell ref="AI39:AJ39"/>
    <mergeCell ref="AG29:AH29"/>
    <mergeCell ref="AI30:AJ30"/>
    <mergeCell ref="AI32:AJ32"/>
    <mergeCell ref="AI34:AJ34"/>
    <mergeCell ref="AI36:AJ36"/>
    <mergeCell ref="AG37:AH37"/>
    <mergeCell ref="AG75:AJ75"/>
    <mergeCell ref="AG61:AH61"/>
    <mergeCell ref="AG74:AJ74"/>
    <mergeCell ref="AG72:AJ73"/>
    <mergeCell ref="AG68:AJ69"/>
    <mergeCell ref="AI59:AJ59"/>
    <mergeCell ref="AI43:AJ46"/>
    <mergeCell ref="AG63:AG65"/>
    <mergeCell ref="AG41:AH41"/>
    <mergeCell ref="AI58:AJ58"/>
    <mergeCell ref="AG58:AH58"/>
    <mergeCell ref="AI63:AJ65"/>
    <mergeCell ref="AG70:AJ71"/>
    <mergeCell ref="AI55:AJ56"/>
    <mergeCell ref="AG52:AH52"/>
    <mergeCell ref="AI52:AJ52"/>
    <mergeCell ref="AI41:AJ41"/>
    <mergeCell ref="AG46:AH46"/>
    <mergeCell ref="AG43:AH43"/>
    <mergeCell ref="AG48:AH48"/>
  </mergeCells>
  <phoneticPr fontId="0" type="noConversion"/>
  <conditionalFormatting sqref="B58:H59 B61:H61 B65:C67 B63 B139:C141 B132:H133 B135:H135 B137">
    <cfRule type="cellIs" dxfId="4" priority="28" stopIfTrue="1" operator="equal">
      <formula>"Fejl! Udfyld ENTEN kr.beløb ELLER Trin"</formula>
    </cfRule>
  </conditionalFormatting>
  <conditionalFormatting sqref="B10:I10 B85:K85">
    <cfRule type="cellIs" dxfId="3" priority="29" stopIfTrue="1" operator="notEqual">
      <formula>"Lønkode"</formula>
    </cfRule>
  </conditionalFormatting>
  <pageMargins left="0.19685039370078741" right="0.19685039370078741" top="0.27559055118110237" bottom="0.39370078740157483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M66"/>
  <sheetViews>
    <sheetView zoomScaleSheetLayoutView="85" workbookViewId="0">
      <selection activeCell="C12" sqref="C12"/>
    </sheetView>
  </sheetViews>
  <sheetFormatPr defaultRowHeight="12.75" x14ac:dyDescent="0.2"/>
  <cols>
    <col min="1" max="1" width="6.6640625" style="100" customWidth="1"/>
    <col min="2" max="2" width="39.1640625" style="100" customWidth="1"/>
    <col min="3" max="3" width="10.1640625" style="100" customWidth="1"/>
    <col min="4" max="4" width="6.5" style="100" customWidth="1"/>
    <col min="5" max="7" width="13.83203125" style="100" customWidth="1"/>
    <col min="8" max="8" width="9.33203125" style="100"/>
    <col min="9" max="9" width="5.83203125" style="100" customWidth="1"/>
    <col min="10" max="10" width="5.1640625" style="100" customWidth="1"/>
    <col min="11" max="11" width="15" style="100" hidden="1" customWidth="1"/>
    <col min="12" max="13" width="9.33203125" style="100" hidden="1" customWidth="1"/>
    <col min="14" max="16384" width="9.33203125" style="100"/>
  </cols>
  <sheetData>
    <row r="1" spans="1:7" ht="12.75" customHeight="1" x14ac:dyDescent="0.2">
      <c r="A1" s="110" t="s">
        <v>10</v>
      </c>
      <c r="F1" s="208" t="s">
        <v>0</v>
      </c>
      <c r="G1" s="292"/>
    </row>
    <row r="2" spans="1:7" ht="12.75" customHeight="1" x14ac:dyDescent="0.2">
      <c r="A2" s="110" t="s">
        <v>384</v>
      </c>
    </row>
    <row r="3" spans="1:7" ht="12.75" customHeight="1" x14ac:dyDescent="0.2">
      <c r="A3" s="650" t="s">
        <v>263</v>
      </c>
      <c r="B3" s="650"/>
      <c r="C3" s="650"/>
      <c r="D3" s="650"/>
      <c r="E3" s="650"/>
      <c r="F3" s="650"/>
      <c r="G3" s="650"/>
    </row>
    <row r="4" spans="1:7" ht="12.75" customHeight="1" x14ac:dyDescent="0.2">
      <c r="A4" s="110"/>
      <c r="D4" s="110"/>
      <c r="E4" s="110"/>
    </row>
    <row r="5" spans="1:7" ht="12.75" customHeight="1" x14ac:dyDescent="0.2">
      <c r="A5" s="101">
        <v>1</v>
      </c>
      <c r="B5" s="102" t="s">
        <v>66</v>
      </c>
      <c r="C5" s="656"/>
      <c r="D5" s="656"/>
      <c r="E5" s="656"/>
      <c r="F5" s="656"/>
      <c r="G5" s="643"/>
    </row>
    <row r="6" spans="1:7" ht="12.75" customHeight="1" x14ac:dyDescent="0.2">
      <c r="A6" s="101"/>
      <c r="B6" s="102" t="s">
        <v>152</v>
      </c>
      <c r="C6" s="656"/>
      <c r="D6" s="656"/>
      <c r="E6" s="656"/>
      <c r="F6" s="656"/>
      <c r="G6" s="643"/>
    </row>
    <row r="7" spans="1:7" ht="12.75" customHeight="1" x14ac:dyDescent="0.2">
      <c r="A7" s="101"/>
      <c r="B7" s="102" t="s">
        <v>153</v>
      </c>
      <c r="C7" s="211"/>
      <c r="D7" s="642"/>
      <c r="E7" s="654"/>
      <c r="F7" s="654"/>
      <c r="G7" s="655"/>
    </row>
    <row r="8" spans="1:7" ht="12.75" customHeight="1" x14ac:dyDescent="0.2">
      <c r="A8" s="101">
        <v>2</v>
      </c>
      <c r="B8" s="102" t="s">
        <v>88</v>
      </c>
      <c r="C8" s="633"/>
      <c r="D8" s="633"/>
      <c r="E8" s="633"/>
      <c r="F8" s="633"/>
      <c r="G8" s="634"/>
    </row>
    <row r="9" spans="1:7" ht="12.75" customHeight="1" x14ac:dyDescent="0.2">
      <c r="A9" s="101">
        <v>3</v>
      </c>
      <c r="B9" s="102" t="s">
        <v>89</v>
      </c>
      <c r="C9" s="625"/>
      <c r="D9" s="625"/>
      <c r="E9" s="625"/>
      <c r="F9" s="625"/>
      <c r="G9" s="626"/>
    </row>
    <row r="10" spans="1:7" ht="12.75" customHeight="1" x14ac:dyDescent="0.2">
      <c r="A10" s="101">
        <v>4</v>
      </c>
      <c r="B10" s="102" t="s">
        <v>56</v>
      </c>
      <c r="C10" s="224">
        <v>1</v>
      </c>
      <c r="D10" s="107"/>
      <c r="E10" s="107"/>
      <c r="F10" s="107"/>
      <c r="G10" s="131"/>
    </row>
    <row r="11" spans="1:7" ht="12.75" customHeight="1" x14ac:dyDescent="0.2">
      <c r="A11" s="101" t="s">
        <v>160</v>
      </c>
      <c r="B11" s="102" t="s">
        <v>90</v>
      </c>
      <c r="C11" s="98">
        <v>37</v>
      </c>
      <c r="D11" s="107"/>
      <c r="E11" s="107"/>
      <c r="F11" s="107"/>
      <c r="G11" s="131"/>
    </row>
    <row r="12" spans="1:7" ht="12.75" customHeight="1" x14ac:dyDescent="0.2">
      <c r="A12" s="101" t="s">
        <v>161</v>
      </c>
      <c r="B12" s="102" t="s">
        <v>91</v>
      </c>
      <c r="C12" s="98">
        <v>37</v>
      </c>
      <c r="D12" s="107"/>
      <c r="E12" s="107"/>
      <c r="F12" s="107"/>
      <c r="G12" s="131"/>
    </row>
    <row r="13" spans="1:7" ht="12.75" customHeight="1" x14ac:dyDescent="0.2">
      <c r="A13" s="101">
        <v>5</v>
      </c>
      <c r="B13" s="102" t="s">
        <v>233</v>
      </c>
      <c r="C13" s="625"/>
      <c r="D13" s="625"/>
      <c r="E13" s="625"/>
      <c r="F13" s="625"/>
      <c r="G13" s="626"/>
    </row>
    <row r="14" spans="1:7" ht="12.75" customHeight="1" x14ac:dyDescent="0.2">
      <c r="A14" s="101">
        <v>6</v>
      </c>
      <c r="B14" s="102" t="s">
        <v>151</v>
      </c>
      <c r="C14" s="639"/>
      <c r="D14" s="626"/>
      <c r="E14" s="107"/>
      <c r="F14" s="107"/>
      <c r="G14" s="108"/>
    </row>
    <row r="15" spans="1:7" ht="12.75" customHeight="1" x14ac:dyDescent="0.2">
      <c r="A15" s="101">
        <v>7</v>
      </c>
      <c r="B15" s="102" t="s">
        <v>12</v>
      </c>
      <c r="C15" s="240"/>
      <c r="D15" s="640" t="e">
        <f>VLOOKUP(C15,tabeloverenskomstnr,3,1)</f>
        <v>#N/A</v>
      </c>
      <c r="E15" s="640"/>
      <c r="F15" s="640"/>
      <c r="G15" s="641"/>
    </row>
    <row r="16" spans="1:7" ht="12.75" customHeight="1" x14ac:dyDescent="0.2">
      <c r="A16" s="101">
        <v>8</v>
      </c>
      <c r="B16" s="102" t="s">
        <v>95</v>
      </c>
      <c r="C16" s="642"/>
      <c r="D16" s="643"/>
      <c r="E16" s="107"/>
      <c r="F16" s="107"/>
      <c r="G16" s="108"/>
    </row>
    <row r="17" spans="1:12" ht="12.75" customHeight="1" x14ac:dyDescent="0.2">
      <c r="A17" s="223">
        <v>9</v>
      </c>
      <c r="B17" s="102" t="s">
        <v>93</v>
      </c>
      <c r="C17" s="642"/>
      <c r="D17" s="643"/>
      <c r="E17" s="107"/>
      <c r="F17" s="107"/>
      <c r="G17" s="108"/>
    </row>
    <row r="18" spans="1:12" ht="12.75" customHeight="1" x14ac:dyDescent="0.2">
      <c r="A18" s="223">
        <v>10</v>
      </c>
      <c r="B18" s="242" t="str">
        <f>IF(OR(C18&lt;0,C18&gt;5),"Fejl! Lønkode skal være 0 - 5","Lønkode")</f>
        <v>Lønkode</v>
      </c>
      <c r="C18" s="98"/>
      <c r="D18" s="295" t="s">
        <v>323</v>
      </c>
      <c r="E18" s="112"/>
      <c r="F18" s="112"/>
      <c r="G18" s="134"/>
      <c r="K18" s="100" t="s">
        <v>273</v>
      </c>
      <c r="L18" s="100">
        <f>VLOOKUP(LønkodeRåd2Time,TabelPctReg,2)</f>
        <v>34.464599999999997</v>
      </c>
    </row>
    <row r="19" spans="1:12" ht="12.75" customHeight="1" x14ac:dyDescent="0.2">
      <c r="A19" s="101"/>
      <c r="B19" s="242"/>
      <c r="C19" s="242"/>
      <c r="D19" s="296" t="s">
        <v>324</v>
      </c>
      <c r="E19" s="275"/>
      <c r="F19" s="275"/>
      <c r="G19" s="132"/>
    </row>
    <row r="20" spans="1:12" ht="12.75" customHeight="1" x14ac:dyDescent="0.2">
      <c r="A20" s="101">
        <v>11</v>
      </c>
      <c r="B20" s="242" t="s">
        <v>270</v>
      </c>
      <c r="C20" s="98"/>
      <c r="D20" s="635" t="s">
        <v>266</v>
      </c>
      <c r="E20" s="636"/>
      <c r="F20" s="107"/>
      <c r="G20" s="108"/>
      <c r="K20" s="252"/>
      <c r="L20" s="252"/>
    </row>
    <row r="21" spans="1:12" ht="12.75" customHeight="1" x14ac:dyDescent="0.2"/>
    <row r="22" spans="1:12" ht="12.75" customHeight="1" x14ac:dyDescent="0.2">
      <c r="A22" s="82" t="s">
        <v>78</v>
      </c>
    </row>
    <row r="23" spans="1:12" ht="12.75" customHeight="1" x14ac:dyDescent="0.2"/>
    <row r="24" spans="1:12" ht="12.75" customHeight="1" x14ac:dyDescent="0.2">
      <c r="A24" s="111"/>
      <c r="B24" s="112"/>
      <c r="C24" s="228" t="s">
        <v>162</v>
      </c>
      <c r="D24" s="228" t="s">
        <v>1</v>
      </c>
      <c r="E24" s="228" t="s">
        <v>261</v>
      </c>
    </row>
    <row r="25" spans="1:12" ht="12.75" customHeight="1" x14ac:dyDescent="0.2">
      <c r="A25" s="115"/>
      <c r="B25" s="103"/>
      <c r="C25" s="182" t="s">
        <v>163</v>
      </c>
      <c r="D25" s="230"/>
      <c r="E25" s="230"/>
    </row>
    <row r="26" spans="1:12" ht="12.75" customHeight="1" x14ac:dyDescent="0.2">
      <c r="A26" s="115"/>
      <c r="B26" s="103"/>
      <c r="C26" s="243">
        <f>VLOOKUP(LønkodeRåd2Time,TabelPctReg,3)</f>
        <v>36616</v>
      </c>
      <c r="D26" s="230"/>
      <c r="E26" s="244">
        <f>Dato1</f>
        <v>42736</v>
      </c>
    </row>
    <row r="27" spans="1:12" ht="12.75" customHeight="1" x14ac:dyDescent="0.2">
      <c r="A27" s="101">
        <v>12</v>
      </c>
      <c r="B27" s="242" t="s">
        <v>4</v>
      </c>
      <c r="C27" s="199"/>
      <c r="D27" s="98"/>
      <c r="E27" s="117">
        <f>ROUND(VLOOKUP(D27,TabelLøn,StartKolonneRåd2Time,1)*BeskGradRåd2Time*12/1924,2)+ROUND(C27/12*BeskGradRåd2Time*(1+PctRegTime%)*12/1924,2)</f>
        <v>0</v>
      </c>
    </row>
    <row r="28" spans="1:12" ht="12.75" customHeight="1" x14ac:dyDescent="0.2">
      <c r="A28" s="101">
        <v>13</v>
      </c>
      <c r="B28" s="130" t="s">
        <v>145</v>
      </c>
      <c r="C28" s="116"/>
      <c r="D28" s="104"/>
      <c r="E28" s="117"/>
    </row>
    <row r="29" spans="1:12" ht="12.75" customHeight="1" x14ac:dyDescent="0.2">
      <c r="A29" s="102"/>
      <c r="B29" s="102" t="s">
        <v>251</v>
      </c>
      <c r="C29" s="116"/>
      <c r="D29" s="98"/>
      <c r="E29" s="117">
        <f>ROUND((VLOOKUP($D$27+D29,TabelLøn,StartKolonneRåd2Time,1)-VLOOKUP($D$27,TabelLøn,StartKolonneRåd2Time,1))*BeskGradRåd2Time*12/1924,2)</f>
        <v>0</v>
      </c>
    </row>
    <row r="30" spans="1:12" ht="12.75" customHeight="1" x14ac:dyDescent="0.2">
      <c r="A30" s="104"/>
      <c r="B30" s="102" t="s">
        <v>252</v>
      </c>
      <c r="C30" s="199"/>
      <c r="D30" s="104"/>
      <c r="E30" s="117">
        <f>ROUND(C30/12*BeskGradRåd2Time*(1+PctRegTime%)*12/1924,2)</f>
        <v>0</v>
      </c>
    </row>
    <row r="31" spans="1:12" ht="12.75" customHeight="1" x14ac:dyDescent="0.2">
      <c r="A31" s="101"/>
      <c r="B31" s="102" t="s">
        <v>253</v>
      </c>
      <c r="C31" s="116"/>
      <c r="D31" s="98"/>
      <c r="E31" s="117">
        <f>ROUND((VLOOKUP($D$27+D29+D31,TabelLøn,StartKolonneRåd2Time,1)-VLOOKUP($D$27+D29,TabelLøn,StartKolonneRåd2Time,1))*BeskGradRåd2Time*12/1924,2)</f>
        <v>0</v>
      </c>
    </row>
    <row r="32" spans="1:12" ht="12.75" customHeight="1" x14ac:dyDescent="0.2">
      <c r="A32" s="106"/>
      <c r="B32" s="102" t="s">
        <v>254</v>
      </c>
      <c r="C32" s="199"/>
      <c r="D32" s="104"/>
      <c r="E32" s="117">
        <f>ROUND(C32/12*BeskGradRåd2Time*(1+PctRegTime%)*12/1924,2)</f>
        <v>0</v>
      </c>
    </row>
    <row r="33" spans="1:12" ht="12.75" customHeight="1" x14ac:dyDescent="0.2">
      <c r="A33" s="106"/>
      <c r="B33" s="102" t="s">
        <v>250</v>
      </c>
      <c r="C33" s="199"/>
      <c r="D33" s="104"/>
      <c r="E33" s="117">
        <f>ROUND(C33/12*BeskGradRåd2Time*(1+PctRegTime%)*12/1924,2)</f>
        <v>0</v>
      </c>
    </row>
    <row r="34" spans="1:12" ht="12.75" customHeight="1" x14ac:dyDescent="0.2">
      <c r="A34" s="223">
        <v>14</v>
      </c>
      <c r="B34" s="102" t="s">
        <v>146</v>
      </c>
      <c r="C34" s="116"/>
      <c r="D34" s="102"/>
      <c r="E34" s="136"/>
    </row>
    <row r="35" spans="1:12" ht="12.75" customHeight="1" x14ac:dyDescent="0.2">
      <c r="A35" s="101"/>
      <c r="B35" s="102" t="s">
        <v>251</v>
      </c>
      <c r="C35" s="116"/>
      <c r="D35" s="98"/>
      <c r="E35" s="117">
        <f>ROUND((VLOOKUP($D$27+D29+D31+D35,TabelLøn,StartKolonneRåd2Time,1)-VLOOKUP($D$27+D29+D31,TabelLøn,StartKolonneRåd2Time,1))*BeskGradRåd2Time*12/1924,2)</f>
        <v>0</v>
      </c>
    </row>
    <row r="36" spans="1:12" ht="12.75" customHeight="1" x14ac:dyDescent="0.2">
      <c r="A36" s="104"/>
      <c r="B36" s="102" t="s">
        <v>252</v>
      </c>
      <c r="C36" s="199"/>
      <c r="D36" s="104"/>
      <c r="E36" s="117">
        <f>ROUND(C36/12*BeskGradRåd2Time*(1+PctRegTime%)*12/1924,2)</f>
        <v>0</v>
      </c>
    </row>
    <row r="37" spans="1:12" ht="12.75" customHeight="1" x14ac:dyDescent="0.2">
      <c r="A37" s="101"/>
      <c r="B37" s="102" t="s">
        <v>253</v>
      </c>
      <c r="C37" s="116"/>
      <c r="D37" s="98"/>
      <c r="E37" s="117">
        <f>ROUND((VLOOKUP(SUM($D$27:D37),TabelLøn,StartKolonneRåd2Time,1)-VLOOKUP(SUM($D$27:D35),TabelLøn,StartKolonneRåd2Time,1))*BeskGradRåd2Time*12/1924,2)</f>
        <v>0</v>
      </c>
    </row>
    <row r="38" spans="1:12" ht="12.75" customHeight="1" x14ac:dyDescent="0.2">
      <c r="A38" s="104"/>
      <c r="B38" s="102" t="s">
        <v>254</v>
      </c>
      <c r="C38" s="199"/>
      <c r="D38" s="104"/>
      <c r="E38" s="117">
        <f>ROUND(C38/12*BeskGradRåd2Time*(1+PctRegTime%)*12/1924,2)</f>
        <v>0</v>
      </c>
    </row>
    <row r="39" spans="1:12" ht="12.75" customHeight="1" x14ac:dyDescent="0.2">
      <c r="A39" s="104"/>
      <c r="B39" s="102" t="s">
        <v>250</v>
      </c>
      <c r="C39" s="199"/>
      <c r="D39" s="104"/>
      <c r="E39" s="117">
        <f>ROUND(C39/12*BeskGradRåd2Time*(1+PctRegTime%)*12/1924,2)</f>
        <v>0</v>
      </c>
    </row>
    <row r="40" spans="1:12" ht="12.75" customHeight="1" x14ac:dyDescent="0.2">
      <c r="A40" s="101">
        <v>15</v>
      </c>
      <c r="B40" s="109" t="s">
        <v>13</v>
      </c>
      <c r="C40" s="116"/>
      <c r="D40" s="104"/>
      <c r="E40" s="117"/>
    </row>
    <row r="41" spans="1:12" ht="12.75" customHeight="1" x14ac:dyDescent="0.2">
      <c r="A41" s="101"/>
      <c r="B41" s="109" t="s">
        <v>255</v>
      </c>
      <c r="C41" s="199"/>
      <c r="D41" s="104"/>
      <c r="E41" s="117">
        <f>ROUND(C41/12*BeskGradRåd2Time*(1+PctRegTime%)*12/1924,2)</f>
        <v>0</v>
      </c>
    </row>
    <row r="42" spans="1:12" ht="12.75" customHeight="1" x14ac:dyDescent="0.2">
      <c r="A42" s="104"/>
      <c r="B42" s="109" t="s">
        <v>250</v>
      </c>
      <c r="C42" s="199"/>
      <c r="D42" s="104"/>
      <c r="E42" s="117">
        <f>ROUND(C42/12*BeskGradRåd2Time*(1+PctRegTime%)*12/1924,2)</f>
        <v>0</v>
      </c>
      <c r="K42" s="252"/>
      <c r="L42" s="252"/>
    </row>
    <row r="43" spans="1:12" ht="12.75" customHeight="1" x14ac:dyDescent="0.2">
      <c r="A43" s="104"/>
      <c r="B43" s="256" t="s">
        <v>249</v>
      </c>
      <c r="C43" s="117">
        <f>SUM(C27:C42)</f>
        <v>0</v>
      </c>
      <c r="D43" s="119">
        <f>SUM(D27:D42)</f>
        <v>0</v>
      </c>
      <c r="E43" s="117">
        <f>SUM(E27:E42)</f>
        <v>0</v>
      </c>
      <c r="K43" s="252" t="s">
        <v>236</v>
      </c>
      <c r="L43" s="252" t="s">
        <v>22</v>
      </c>
    </row>
    <row r="44" spans="1:12" ht="12.75" customHeight="1" x14ac:dyDescent="0.2">
      <c r="A44" s="101">
        <v>16</v>
      </c>
      <c r="B44" s="102" t="s">
        <v>239</v>
      </c>
      <c r="C44" s="116"/>
      <c r="D44" s="104"/>
      <c r="E44" s="117">
        <f>ROUND(VLOOKUP(D45,TabelLønninger,VLOOKUP(LønkodeRåd2Time,TabelPensgivLøn,2))*PensionsProcentTilgangTime/100*BeskGradRåd2Time/1924,2)+L44</f>
        <v>0</v>
      </c>
      <c r="K44" s="117">
        <f>C43-C33-C39-C42</f>
        <v>0</v>
      </c>
      <c r="L44" s="117">
        <f>ROUND(K44/12*BeskGradRåd2Time*(1+PctRegTime%)*PensionsProcentTilgangTime/100*12/1924,2)</f>
        <v>0</v>
      </c>
    </row>
    <row r="45" spans="1:12" ht="12.75" customHeight="1" x14ac:dyDescent="0.2">
      <c r="A45" s="101">
        <v>17</v>
      </c>
      <c r="B45" s="256" t="s">
        <v>246</v>
      </c>
      <c r="C45" s="117">
        <f>SUM(C43:C44)</f>
        <v>0</v>
      </c>
      <c r="D45" s="119">
        <f>SUM(D43:D44)</f>
        <v>0</v>
      </c>
      <c r="E45" s="117">
        <f>SUM(E43:E44)</f>
        <v>0</v>
      </c>
    </row>
    <row r="46" spans="1:12" ht="12.75" customHeight="1" x14ac:dyDescent="0.2"/>
    <row r="47" spans="1:12" ht="12.75" customHeight="1" x14ac:dyDescent="0.2">
      <c r="A47" s="647" t="s">
        <v>213</v>
      </c>
      <c r="B47" s="648"/>
      <c r="C47" s="648"/>
      <c r="D47" s="648"/>
      <c r="E47" s="648"/>
      <c r="F47" s="648"/>
      <c r="G47" s="649"/>
    </row>
    <row r="48" spans="1:12" ht="12.75" customHeight="1" x14ac:dyDescent="0.2">
      <c r="A48" s="630"/>
      <c r="B48" s="631"/>
      <c r="C48" s="631"/>
      <c r="D48" s="631"/>
      <c r="E48" s="631"/>
      <c r="F48" s="631"/>
      <c r="G48" s="632"/>
    </row>
    <row r="49" spans="1:7" ht="12.75" customHeight="1" x14ac:dyDescent="0.2">
      <c r="A49" s="627"/>
      <c r="B49" s="628"/>
      <c r="C49" s="628"/>
      <c r="D49" s="628"/>
      <c r="E49" s="628"/>
      <c r="F49" s="628"/>
      <c r="G49" s="629"/>
    </row>
    <row r="50" spans="1:7" ht="12.75" customHeight="1" x14ac:dyDescent="0.2">
      <c r="A50" s="627"/>
      <c r="B50" s="628"/>
      <c r="C50" s="628"/>
      <c r="D50" s="628"/>
      <c r="E50" s="628"/>
      <c r="F50" s="628"/>
      <c r="G50" s="629"/>
    </row>
    <row r="51" spans="1:7" ht="12.75" customHeight="1" x14ac:dyDescent="0.2">
      <c r="A51" s="627"/>
      <c r="B51" s="628"/>
      <c r="C51" s="628"/>
      <c r="D51" s="628"/>
      <c r="E51" s="628"/>
      <c r="F51" s="628"/>
      <c r="G51" s="629"/>
    </row>
    <row r="52" spans="1:7" ht="12.75" customHeight="1" x14ac:dyDescent="0.2">
      <c r="A52" s="627"/>
      <c r="B52" s="628"/>
      <c r="C52" s="628"/>
      <c r="D52" s="628"/>
      <c r="E52" s="628"/>
      <c r="F52" s="628"/>
      <c r="G52" s="629"/>
    </row>
    <row r="53" spans="1:7" ht="12.75" customHeight="1" x14ac:dyDescent="0.2">
      <c r="A53" s="644"/>
      <c r="B53" s="645"/>
      <c r="C53" s="645"/>
      <c r="D53" s="645"/>
      <c r="E53" s="645"/>
      <c r="F53" s="645"/>
      <c r="G53" s="646"/>
    </row>
    <row r="54" spans="1:7" ht="12.75" customHeight="1" x14ac:dyDescent="0.2"/>
    <row r="55" spans="1:7" ht="12.75" customHeight="1" x14ac:dyDescent="0.2">
      <c r="A55" s="110" t="s">
        <v>154</v>
      </c>
    </row>
    <row r="56" spans="1:7" ht="12.75" customHeight="1" x14ac:dyDescent="0.2">
      <c r="A56" s="100" t="s">
        <v>155</v>
      </c>
    </row>
    <row r="57" spans="1:7" ht="12.75" customHeight="1" x14ac:dyDescent="0.2">
      <c r="A57" s="100" t="s">
        <v>14</v>
      </c>
    </row>
    <row r="58" spans="1:7" ht="12.75" customHeight="1" x14ac:dyDescent="0.2"/>
    <row r="59" spans="1:7" ht="12.75" customHeight="1" x14ac:dyDescent="0.2">
      <c r="A59" s="110" t="s">
        <v>264</v>
      </c>
    </row>
    <row r="60" spans="1:7" ht="12.75" customHeight="1" x14ac:dyDescent="0.2">
      <c r="A60" s="106" t="s">
        <v>9</v>
      </c>
      <c r="B60" s="210"/>
      <c r="C60" s="107" t="s">
        <v>9</v>
      </c>
      <c r="D60" s="637"/>
      <c r="E60" s="638"/>
      <c r="F60" s="106" t="s">
        <v>9</v>
      </c>
      <c r="G60" s="210"/>
    </row>
    <row r="61" spans="1:7" ht="12.75" customHeight="1" x14ac:dyDescent="0.2">
      <c r="A61" s="138"/>
      <c r="B61" s="139"/>
      <c r="C61" s="103"/>
      <c r="D61" s="103"/>
      <c r="E61" s="103"/>
      <c r="F61" s="138"/>
      <c r="G61" s="139"/>
    </row>
    <row r="62" spans="1:7" ht="12.75" customHeight="1" x14ac:dyDescent="0.2">
      <c r="A62" s="138"/>
      <c r="B62" s="139"/>
      <c r="C62" s="103"/>
      <c r="D62" s="103"/>
      <c r="E62" s="103"/>
      <c r="F62" s="138"/>
      <c r="G62" s="139"/>
    </row>
    <row r="63" spans="1:7" ht="12.75" customHeight="1" x14ac:dyDescent="0.2">
      <c r="A63" s="109" t="s">
        <v>15</v>
      </c>
      <c r="B63" s="108"/>
      <c r="C63" s="130" t="s">
        <v>16</v>
      </c>
      <c r="D63" s="130"/>
      <c r="E63" s="107"/>
      <c r="F63" s="109" t="s">
        <v>17</v>
      </c>
      <c r="G63" s="140"/>
    </row>
    <row r="64" spans="1:7" ht="12.75" customHeight="1" x14ac:dyDescent="0.2"/>
    <row r="65" spans="1:1" ht="12.75" customHeight="1" x14ac:dyDescent="0.2">
      <c r="A65" s="110" t="s">
        <v>320</v>
      </c>
    </row>
    <row r="66" spans="1:1" ht="12.75" customHeight="1" x14ac:dyDescent="0.2"/>
  </sheetData>
  <sheetProtection password="CF28" sheet="1"/>
  <customSheetViews>
    <customSheetView guid="{40555330-83BF-42FA-97D0-8A355A41C0A0}" hiddenColumns="1" state="hidden">
      <selection activeCell="C12" sqref="C12"/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20">
    <mergeCell ref="D60:E60"/>
    <mergeCell ref="C14:D14"/>
    <mergeCell ref="D15:G15"/>
    <mergeCell ref="C16:D16"/>
    <mergeCell ref="A49:G49"/>
    <mergeCell ref="A50:G50"/>
    <mergeCell ref="A52:G52"/>
    <mergeCell ref="A48:G48"/>
    <mergeCell ref="A53:G53"/>
    <mergeCell ref="A47:G47"/>
    <mergeCell ref="C13:G13"/>
    <mergeCell ref="C17:D17"/>
    <mergeCell ref="A51:G51"/>
    <mergeCell ref="A3:G3"/>
    <mergeCell ref="C9:G9"/>
    <mergeCell ref="D7:G7"/>
    <mergeCell ref="C5:G5"/>
    <mergeCell ref="C6:G6"/>
    <mergeCell ref="C8:G8"/>
    <mergeCell ref="D20:E20"/>
  </mergeCells>
  <phoneticPr fontId="0" type="noConversion"/>
  <conditionalFormatting sqref="B18 B19:C19">
    <cfRule type="cellIs" dxfId="2" priority="1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50"/>
  <sheetViews>
    <sheetView topLeftCell="A10" zoomScaleSheetLayoutView="85" workbookViewId="0">
      <selection activeCell="J39" sqref="J39"/>
    </sheetView>
  </sheetViews>
  <sheetFormatPr defaultRowHeight="12.75" x14ac:dyDescent="0.2"/>
  <cols>
    <col min="1" max="1" width="1.83203125" style="10" customWidth="1"/>
    <col min="2" max="2" width="26.83203125" style="10" customWidth="1"/>
    <col min="3" max="3" width="10.83203125" style="10" customWidth="1"/>
    <col min="4" max="7" width="14.83203125" style="10" customWidth="1"/>
    <col min="8" max="8" width="1.83203125" style="10" customWidth="1"/>
    <col min="9" max="9" width="9.33203125" style="10"/>
    <col min="10" max="10" width="6.1640625" style="10" customWidth="1"/>
    <col min="11" max="11" width="13" style="10" hidden="1" customWidth="1"/>
    <col min="12" max="13" width="9.33203125" style="10" hidden="1" customWidth="1"/>
    <col min="14" max="16384" width="9.33203125" style="10"/>
  </cols>
  <sheetData>
    <row r="1" spans="1:12" ht="5.0999999999999996" customHeight="1" x14ac:dyDescent="0.2">
      <c r="A1" s="79"/>
      <c r="B1" s="79"/>
      <c r="C1" s="79"/>
      <c r="D1" s="79"/>
      <c r="E1" s="79"/>
      <c r="F1" s="79"/>
      <c r="G1" s="79"/>
    </row>
    <row r="2" spans="1:12" x14ac:dyDescent="0.2">
      <c r="A2" s="79"/>
      <c r="B2" s="110" t="s">
        <v>10</v>
      </c>
      <c r="C2" s="79"/>
      <c r="D2" s="79"/>
      <c r="E2" s="79"/>
      <c r="F2" s="79"/>
      <c r="G2" s="92">
        <f ca="1">TODAY()</f>
        <v>42807</v>
      </c>
    </row>
    <row r="3" spans="1:12" x14ac:dyDescent="0.2">
      <c r="A3" s="79"/>
      <c r="B3" s="110" t="s">
        <v>384</v>
      </c>
      <c r="C3" s="79"/>
      <c r="D3" s="79"/>
      <c r="E3" s="79"/>
      <c r="F3" s="79"/>
      <c r="G3" s="79"/>
    </row>
    <row r="4" spans="1:12" x14ac:dyDescent="0.2">
      <c r="A4" s="79"/>
      <c r="B4" s="79"/>
      <c r="C4" s="79"/>
      <c r="D4" s="79"/>
      <c r="E4" s="79"/>
      <c r="F4" s="79"/>
      <c r="G4" s="79"/>
    </row>
    <row r="6" spans="1:12" x14ac:dyDescent="0.2">
      <c r="B6" s="12"/>
      <c r="C6" s="13"/>
    </row>
    <row r="7" spans="1:12" ht="15" customHeight="1" x14ac:dyDescent="0.2">
      <c r="B7" s="12" t="str">
        <f>"NY LØN     UDGIFTSBEREGNING     "&amp;Dato3</f>
        <v>NY LØN     UDGIFTSBEREGNING     1. JANUAR 2017</v>
      </c>
      <c r="C7" s="13"/>
      <c r="D7" s="13"/>
      <c r="E7" s="13"/>
      <c r="F7" s="13"/>
      <c r="G7" s="13"/>
      <c r="H7" s="10" t="s">
        <v>7</v>
      </c>
    </row>
    <row r="8" spans="1:12" ht="15" customHeight="1" x14ac:dyDescent="0.2"/>
    <row r="9" spans="1:12" ht="15" customHeight="1" x14ac:dyDescent="0.2">
      <c r="B9" s="14" t="s">
        <v>104</v>
      </c>
    </row>
    <row r="10" spans="1:12" ht="15" customHeight="1" x14ac:dyDescent="0.2">
      <c r="B10" s="15"/>
    </row>
    <row r="11" spans="1:12" ht="15" customHeight="1" x14ac:dyDescent="0.25">
      <c r="B11" s="14" t="s">
        <v>11</v>
      </c>
      <c r="C11" s="16"/>
      <c r="D11" s="17"/>
      <c r="E11" s="17"/>
      <c r="F11" s="18"/>
    </row>
    <row r="12" spans="1:12" ht="15" customHeight="1" x14ac:dyDescent="0.2"/>
    <row r="13" spans="1:12" ht="15" customHeight="1" x14ac:dyDescent="0.2">
      <c r="B13" s="14" t="s">
        <v>98</v>
      </c>
      <c r="D13" s="279"/>
      <c r="F13" s="19"/>
    </row>
    <row r="14" spans="1:12" ht="15" customHeight="1" x14ac:dyDescent="0.2">
      <c r="B14" s="14" t="s">
        <v>99</v>
      </c>
      <c r="D14" s="279">
        <v>37</v>
      </c>
      <c r="E14" s="293"/>
      <c r="F14" s="82"/>
      <c r="G14" s="20"/>
    </row>
    <row r="15" spans="1:12" ht="15" customHeight="1" x14ac:dyDescent="0.2">
      <c r="B15" s="14" t="s">
        <v>105</v>
      </c>
      <c r="D15" s="279">
        <v>0</v>
      </c>
      <c r="E15" s="297" t="s">
        <v>323</v>
      </c>
      <c r="F15" s="82"/>
      <c r="K15" s="100" t="s">
        <v>273</v>
      </c>
      <c r="L15" s="100">
        <f>VLOOKUP(LønkodeUd,TabelPctReg,2)</f>
        <v>34.464599999999997</v>
      </c>
    </row>
    <row r="16" spans="1:12" ht="15" customHeight="1" x14ac:dyDescent="0.2">
      <c r="B16" s="21"/>
      <c r="E16" s="297" t="s">
        <v>324</v>
      </c>
      <c r="F16" s="82"/>
      <c r="G16" s="83"/>
      <c r="H16" s="83"/>
      <c r="K16" s="10" t="s">
        <v>282</v>
      </c>
      <c r="L16" s="285" t="str">
        <f>TEXT(VLOOKUP(LønkodeUd,TabelPctReg,3),"d/m-åååå")</f>
        <v>31/3-2000</v>
      </c>
    </row>
    <row r="17" spans="2:8" ht="15" customHeight="1" x14ac:dyDescent="0.2">
      <c r="B17" s="22" t="s">
        <v>267</v>
      </c>
      <c r="C17" s="23"/>
      <c r="D17" s="280"/>
      <c r="E17" s="15" t="s">
        <v>266</v>
      </c>
      <c r="F17" s="294"/>
      <c r="G17" s="83"/>
      <c r="H17" s="83"/>
    </row>
    <row r="18" spans="2:8" ht="15" customHeight="1" x14ac:dyDescent="0.2">
      <c r="B18" s="24"/>
      <c r="C18" s="21"/>
      <c r="D18" s="23"/>
      <c r="E18" s="25"/>
      <c r="F18" s="294"/>
      <c r="G18" s="23"/>
    </row>
    <row r="19" spans="2:8" ht="15" customHeight="1" x14ac:dyDescent="0.2">
      <c r="B19" s="26" t="s">
        <v>18</v>
      </c>
      <c r="C19" s="27" t="s">
        <v>19</v>
      </c>
      <c r="D19" s="28" t="s">
        <v>20</v>
      </c>
      <c r="E19" s="29" t="s">
        <v>21</v>
      </c>
      <c r="F19" s="30" t="s">
        <v>5</v>
      </c>
      <c r="G19" s="93" t="s">
        <v>22</v>
      </c>
    </row>
    <row r="20" spans="2:8" ht="15" customHeight="1" x14ac:dyDescent="0.2">
      <c r="B20" s="31"/>
      <c r="C20" s="32"/>
      <c r="D20" s="33"/>
      <c r="E20" s="34" t="s">
        <v>23</v>
      </c>
      <c r="F20" s="34" t="s">
        <v>23</v>
      </c>
      <c r="G20" s="34" t="s">
        <v>23</v>
      </c>
    </row>
    <row r="21" spans="2:8" ht="15" customHeight="1" x14ac:dyDescent="0.2">
      <c r="B21" s="31"/>
      <c r="C21" s="32"/>
      <c r="D21" s="33" t="str">
        <f>PctRegUdDato</f>
        <v>31/3-2000</v>
      </c>
      <c r="E21" s="34"/>
      <c r="F21" s="35"/>
      <c r="G21" s="91">
        <f>D17/100</f>
        <v>0</v>
      </c>
    </row>
    <row r="22" spans="2:8" ht="15" customHeight="1" x14ac:dyDescent="0.2">
      <c r="B22" s="36"/>
      <c r="C22" s="37"/>
      <c r="D22" s="38" t="s">
        <v>214</v>
      </c>
      <c r="E22" s="39">
        <f>Dato1</f>
        <v>42736</v>
      </c>
      <c r="F22" s="39">
        <f>Dato1</f>
        <v>42736</v>
      </c>
      <c r="G22" s="39">
        <f>Dato1</f>
        <v>42736</v>
      </c>
    </row>
    <row r="23" spans="2:8" ht="15" customHeight="1" x14ac:dyDescent="0.2">
      <c r="B23" s="36" t="s">
        <v>24</v>
      </c>
      <c r="C23" s="40"/>
      <c r="D23" s="41"/>
      <c r="E23" s="42">
        <f>ROUND(VLOOKUP(C23,TabelLønninger,StartKolonneUdLøn,1)*TællerUd/NævnerUd,2)</f>
        <v>0</v>
      </c>
      <c r="F23" s="43"/>
      <c r="G23" s="42">
        <f>ROUND(VLOOKUP(C23,TabelLønninger,VLOOKUP(LønkodeUd,TabelPensgivLøn,2))*PensionsprocentUdgift/100/12*TællerUd/NævnerUd,2)</f>
        <v>0</v>
      </c>
    </row>
    <row r="24" spans="2:8" ht="15" customHeight="1" x14ac:dyDescent="0.2">
      <c r="B24" s="36" t="s">
        <v>25</v>
      </c>
      <c r="C24" s="44"/>
      <c r="D24" s="41"/>
      <c r="E24" s="45">
        <f>ROUND(VLOOKUP(C24,TabelLønninger,StartKolonneUdLøn,1)*TællerUd/NævnerUd,2)</f>
        <v>0</v>
      </c>
      <c r="F24" s="46"/>
      <c r="G24" s="45">
        <f>ROUND(VLOOKUP(C24,TabelLønninger,VLOOKUP(LønkodeUd,TabelPensgivLøn,2))*PensionsprocentUdgift/100/12*TællerUd/NævnerUd,2)</f>
        <v>0</v>
      </c>
    </row>
    <row r="25" spans="2:8" ht="15" customHeight="1" thickBot="1" x14ac:dyDescent="0.25">
      <c r="B25" s="36" t="s">
        <v>26</v>
      </c>
      <c r="C25" s="47">
        <f>C24-C23</f>
        <v>0</v>
      </c>
      <c r="D25" s="48"/>
      <c r="E25" s="49">
        <f>E24-E23</f>
        <v>0</v>
      </c>
      <c r="F25" s="50"/>
      <c r="G25" s="51">
        <f>G24-G23</f>
        <v>0</v>
      </c>
    </row>
    <row r="26" spans="2:8" ht="15" customHeight="1" thickTop="1" x14ac:dyDescent="0.2">
      <c r="B26" s="36" t="s">
        <v>27</v>
      </c>
      <c r="C26" s="52"/>
      <c r="D26" s="53"/>
      <c r="E26" s="54"/>
      <c r="F26" s="55">
        <f>ROUND(D26/12*(1+PctRegUd%)*TællerUd/NævnerUd,2)</f>
        <v>0</v>
      </c>
      <c r="G26" s="56">
        <f>ROUND(F26*PensionsprocentUdgift/100,2)</f>
        <v>0</v>
      </c>
    </row>
    <row r="27" spans="2:8" ht="15" customHeight="1" x14ac:dyDescent="0.2">
      <c r="B27" s="36" t="s">
        <v>28</v>
      </c>
      <c r="C27" s="57"/>
      <c r="D27" s="58"/>
      <c r="E27" s="59"/>
      <c r="F27" s="60">
        <f>ROUND(D27/12*(1+PctRegUd%)*TællerUd/NævnerUd,2)</f>
        <v>0</v>
      </c>
      <c r="G27" s="45">
        <f>ROUND(F27*PensionsprocentUdgift/100,2)</f>
        <v>0</v>
      </c>
    </row>
    <row r="28" spans="2:8" ht="15" customHeight="1" thickBot="1" x14ac:dyDescent="0.25">
      <c r="B28" s="36" t="s">
        <v>29</v>
      </c>
      <c r="C28" s="61"/>
      <c r="D28" s="62">
        <f>D27-D26</f>
        <v>0</v>
      </c>
      <c r="E28" s="63"/>
      <c r="F28" s="64">
        <f>F27-F26</f>
        <v>0</v>
      </c>
      <c r="G28" s="65">
        <f>G27-G26</f>
        <v>0</v>
      </c>
    </row>
    <row r="29" spans="2:8" ht="15" customHeight="1" thickTop="1" x14ac:dyDescent="0.25">
      <c r="B29" s="286" t="str">
        <f>"* Tillæg pr. år i "&amp;PctRegUdDato&amp;" niveau kan opgøres ved at indtaste nutidsværdien i række 43"</f>
        <v>* Tillæg pr. år i 31/3-2000 niveau kan opgøres ved at indtaste nutidsværdien i række 43</v>
      </c>
      <c r="G29" s="66"/>
    </row>
    <row r="30" spans="2:8" ht="15" customHeight="1" x14ac:dyDescent="0.2">
      <c r="B30" s="20"/>
      <c r="G30" s="66"/>
    </row>
    <row r="31" spans="2:8" ht="15" customHeight="1" x14ac:dyDescent="0.2">
      <c r="B31" s="15" t="s">
        <v>172</v>
      </c>
      <c r="C31" s="15"/>
      <c r="D31" s="67" t="s">
        <v>31</v>
      </c>
      <c r="E31" s="68"/>
      <c r="F31" s="69" t="s">
        <v>32</v>
      </c>
      <c r="G31" s="11"/>
    </row>
    <row r="32" spans="2:8" ht="15" customHeight="1" x14ac:dyDescent="0.2">
      <c r="B32" s="15" t="s">
        <v>19</v>
      </c>
      <c r="C32" s="94" t="s">
        <v>33</v>
      </c>
      <c r="D32" s="70">
        <f>E25</f>
        <v>0</v>
      </c>
      <c r="E32" s="11"/>
      <c r="F32" s="71">
        <f>E25</f>
        <v>0</v>
      </c>
      <c r="G32" s="11"/>
    </row>
    <row r="33" spans="2:7" ht="15" customHeight="1" x14ac:dyDescent="0.2">
      <c r="B33" s="15" t="s">
        <v>5</v>
      </c>
      <c r="C33" s="94" t="s">
        <v>33</v>
      </c>
      <c r="D33" s="70">
        <f>F28</f>
        <v>0</v>
      </c>
      <c r="E33" s="11"/>
      <c r="F33" s="70">
        <f>F28</f>
        <v>0</v>
      </c>
      <c r="G33" s="11"/>
    </row>
    <row r="34" spans="2:7" ht="15" customHeight="1" x14ac:dyDescent="0.2">
      <c r="B34" s="15" t="s">
        <v>22</v>
      </c>
      <c r="C34" s="94" t="s">
        <v>33</v>
      </c>
      <c r="D34" s="70">
        <f>G25+G28</f>
        <v>0</v>
      </c>
      <c r="E34" s="11"/>
      <c r="F34" s="70">
        <f>G25+G28</f>
        <v>0</v>
      </c>
      <c r="G34" s="68"/>
    </row>
    <row r="35" spans="2:7" ht="15" customHeight="1" x14ac:dyDescent="0.2">
      <c r="B35" s="15" t="s">
        <v>321</v>
      </c>
      <c r="C35" s="94" t="s">
        <v>33</v>
      </c>
      <c r="D35" s="70">
        <f>ROUND((D32+D33)*1.95%,2)</f>
        <v>0</v>
      </c>
      <c r="E35" s="11"/>
      <c r="F35" s="70">
        <f>ROUND((F32+F33)*12.5%,2)</f>
        <v>0</v>
      </c>
      <c r="G35" s="68"/>
    </row>
    <row r="36" spans="2:7" ht="15" customHeight="1" x14ac:dyDescent="0.2">
      <c r="B36" s="15" t="s">
        <v>34</v>
      </c>
      <c r="C36" s="94" t="s">
        <v>33</v>
      </c>
      <c r="D36" s="72"/>
      <c r="E36" s="35" t="s">
        <v>35</v>
      </c>
      <c r="F36" s="73"/>
      <c r="G36" s="68"/>
    </row>
    <row r="37" spans="2:7" ht="15" customHeight="1" x14ac:dyDescent="0.2">
      <c r="B37" s="74" t="s">
        <v>36</v>
      </c>
      <c r="C37" s="95" t="s">
        <v>33</v>
      </c>
      <c r="D37" s="75"/>
      <c r="E37" s="15"/>
      <c r="F37" s="76"/>
      <c r="G37" s="11"/>
    </row>
    <row r="38" spans="2:7" ht="15" customHeight="1" thickBot="1" x14ac:dyDescent="0.25">
      <c r="B38" s="77" t="s">
        <v>37</v>
      </c>
      <c r="C38" s="96" t="s">
        <v>33</v>
      </c>
      <c r="D38" s="78">
        <f>SUM(D32:D37)</f>
        <v>0</v>
      </c>
      <c r="E38" s="11"/>
      <c r="F38" s="78">
        <f>SUM(F32:F37)</f>
        <v>0</v>
      </c>
      <c r="G38" s="11"/>
    </row>
    <row r="39" spans="2:7" ht="15" customHeight="1" thickTop="1" x14ac:dyDescent="0.2">
      <c r="B39" s="79"/>
      <c r="C39" s="97"/>
      <c r="D39" s="80"/>
    </row>
    <row r="40" spans="2:7" ht="15" customHeight="1" thickBot="1" x14ac:dyDescent="0.25">
      <c r="B40" s="77" t="s">
        <v>38</v>
      </c>
      <c r="C40" s="96" t="s">
        <v>33</v>
      </c>
      <c r="D40" s="78">
        <f>D38*12</f>
        <v>0</v>
      </c>
      <c r="E40" s="11"/>
      <c r="F40" s="78">
        <f>F38*12</f>
        <v>0</v>
      </c>
    </row>
    <row r="41" spans="2:7" ht="15" customHeight="1" thickTop="1" x14ac:dyDescent="0.2"/>
    <row r="42" spans="2:7" ht="15" customHeight="1" x14ac:dyDescent="0.2">
      <c r="B42" s="11" t="s">
        <v>219</v>
      </c>
    </row>
    <row r="43" spans="2:7" x14ac:dyDescent="0.2">
      <c r="B43" s="15" t="s">
        <v>39</v>
      </c>
      <c r="D43" s="72"/>
      <c r="F43" s="72"/>
    </row>
    <row r="44" spans="2:7" x14ac:dyDescent="0.2">
      <c r="B44" s="15" t="str">
        <f>"Nettoløn "&amp;Dato4</f>
        <v>Nettoløn 1/1-2017</v>
      </c>
      <c r="D44" s="70">
        <f>D43/(1+PensionsprocentUdgift/100+0.015)</f>
        <v>0</v>
      </c>
      <c r="F44" s="70">
        <f>F43/(1+PensionsprocentUdgift/100+0.125)</f>
        <v>0</v>
      </c>
    </row>
    <row r="45" spans="2:7" ht="13.5" thickBot="1" x14ac:dyDescent="0.25">
      <c r="B45" s="77" t="str">
        <f>"Nettoløn "&amp;PctRegUdDato&amp;" niveau"</f>
        <v>Nettoløn 31/3-2000 niveau</v>
      </c>
      <c r="C45" s="81"/>
      <c r="D45" s="78">
        <f>ROUND(D44/(1+PctRegUd/100),0)</f>
        <v>0</v>
      </c>
      <c r="F45" s="78">
        <f>ROUND(F44/(1+PctRegUd/100),0)</f>
        <v>0</v>
      </c>
    </row>
    <row r="46" spans="2:7" ht="13.5" thickTop="1" x14ac:dyDescent="0.2"/>
    <row r="47" spans="2:7" x14ac:dyDescent="0.2">
      <c r="B47" s="11" t="s">
        <v>322</v>
      </c>
    </row>
    <row r="48" spans="2:7" x14ac:dyDescent="0.2">
      <c r="B48" s="15" t="str">
        <f>"Nettoløn "&amp;Dato4</f>
        <v>Nettoløn 1/1-2017</v>
      </c>
      <c r="D48" s="70">
        <f>D44*0.0195</f>
        <v>0</v>
      </c>
      <c r="F48" s="70">
        <f>F44*0.125</f>
        <v>0</v>
      </c>
    </row>
    <row r="49" spans="2:6" ht="13.5" thickBot="1" x14ac:dyDescent="0.25">
      <c r="B49" s="77" t="str">
        <f>"Nettoløn "&amp;PctRegUdDato&amp;" niveau"</f>
        <v>Nettoløn 31/3-2000 niveau</v>
      </c>
      <c r="C49" s="81"/>
      <c r="D49" s="78">
        <f>ROUND(D48/(1+PctRegUd/100),0)</f>
        <v>0</v>
      </c>
      <c r="F49" s="78">
        <f>ROUND(F48/(1+PctRegUd/100),0)</f>
        <v>0</v>
      </c>
    </row>
    <row r="50" spans="2:6" ht="13.5" thickTop="1" x14ac:dyDescent="0.2"/>
  </sheetData>
  <sheetProtection password="CF28" sheet="1"/>
  <customSheetViews>
    <customSheetView guid="{40555330-83BF-42FA-97D0-8A355A41C0A0}" hiddenColumns="1" state="hidden">
      <selection activeCell="I13" sqref="I13"/>
      <pageMargins left="0.59055118110236227" right="0.39370078740157483" top="0.39370078740157483" bottom="0.39370078740157483" header="0" footer="0.39370078740157483"/>
      <pageSetup paperSize="9" scale="89" orientation="portrait" blackAndWhite="1" horizontalDpi="4294967292" r:id="rId1"/>
      <headerFooter alignWithMargins="0">
        <oddFooter>&amp;CSide &amp;P af  &amp;N</oddFooter>
      </headerFooter>
    </customSheetView>
  </customSheetViews>
  <phoneticPr fontId="0" type="noConversion"/>
  <pageMargins left="0.59055118110236227" right="0.39370078740157483" top="0.39370078740157483" bottom="0.39370078740157483" header="0" footer="0.39370078740157483"/>
  <pageSetup paperSize="9" scale="89" orientation="portrait" blackAndWhite="1" horizontalDpi="4294967292" r:id="rId2"/>
  <headerFooter alignWithMargins="0">
    <oddFooter>&amp;CSide &amp;P af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X308"/>
  <sheetViews>
    <sheetView workbookViewId="0">
      <pane xSplit="2" ySplit="20" topLeftCell="C21" activePane="bottomRight" state="frozen"/>
      <selection pane="topRight" activeCell="C1" sqref="C1"/>
      <selection pane="bottomLeft" activeCell="A18" sqref="A18"/>
      <selection pane="bottomRight" activeCell="R1" sqref="R1:S1"/>
    </sheetView>
  </sheetViews>
  <sheetFormatPr defaultRowHeight="9" x14ac:dyDescent="0.15"/>
  <cols>
    <col min="1" max="1" width="10.1640625" style="144" customWidth="1"/>
    <col min="2" max="2" width="19.6640625" style="144" customWidth="1"/>
    <col min="3" max="3" width="3" style="144" customWidth="1"/>
    <col min="4" max="4" width="6.83203125" style="144" customWidth="1"/>
    <col min="5" max="5" width="9.1640625" style="144" bestFit="1" customWidth="1"/>
    <col min="6" max="6" width="6" style="144" bestFit="1" customWidth="1"/>
    <col min="7" max="7" width="5.83203125" style="144" bestFit="1" customWidth="1"/>
    <col min="8" max="8" width="6.83203125" style="144" bestFit="1" customWidth="1"/>
    <col min="9" max="13" width="6.83203125" style="144" customWidth="1"/>
    <col min="14" max="17" width="7.5" style="145" customWidth="1"/>
    <col min="18" max="19" width="7.5" style="144" customWidth="1"/>
    <col min="20" max="20" width="6.33203125" style="144" customWidth="1"/>
    <col min="21" max="32" width="10.1640625" style="144" hidden="1" customWidth="1"/>
    <col min="33" max="33" width="6.1640625" style="144" hidden="1" customWidth="1"/>
    <col min="34" max="43" width="10.1640625" style="144" hidden="1" customWidth="1"/>
    <col min="44" max="44" width="7.5" style="144" hidden="1" customWidth="1"/>
    <col min="45" max="45" width="7.33203125" style="144" hidden="1" customWidth="1"/>
    <col min="46" max="46" width="8.33203125" style="144" hidden="1" customWidth="1"/>
    <col min="47" max="47" width="11.1640625" style="144" hidden="1" customWidth="1"/>
    <col min="48" max="48" width="7.1640625" style="144" hidden="1" customWidth="1"/>
    <col min="49" max="49" width="9.83203125" style="144" hidden="1" customWidth="1"/>
    <col min="50" max="50" width="9.1640625" style="144" hidden="1" customWidth="1"/>
    <col min="51" max="16384" width="9.33203125" style="144"/>
  </cols>
  <sheetData>
    <row r="1" spans="1:49" ht="9" customHeight="1" x14ac:dyDescent="0.15">
      <c r="A1" s="143" t="str">
        <f>"PULJEBELASTNING "&amp;Puljeår</f>
        <v xml:space="preserve">PULJEBELASTNING </v>
      </c>
      <c r="D1" s="143"/>
      <c r="E1" s="143"/>
      <c r="F1" s="143"/>
      <c r="R1" s="733">
        <f ca="1">TODAY()</f>
        <v>42807</v>
      </c>
      <c r="S1" s="733"/>
    </row>
    <row r="2" spans="1:49" ht="9.75" thickBot="1" x14ac:dyDescent="0.2"/>
    <row r="3" spans="1:49" x14ac:dyDescent="0.15">
      <c r="A3" s="143" t="str">
        <f>"Lønninger pr. "&amp; Dato2</f>
        <v>Lønninger pr. 1. januar 2017</v>
      </c>
      <c r="J3" s="146"/>
      <c r="K3" s="147"/>
      <c r="L3" s="147"/>
      <c r="M3" s="147"/>
      <c r="N3" s="147"/>
      <c r="O3" s="147"/>
      <c r="P3" s="147"/>
      <c r="Q3" s="148" t="s">
        <v>59</v>
      </c>
      <c r="R3" s="148"/>
      <c r="S3" s="247"/>
      <c r="AM3" s="145"/>
      <c r="AN3" s="145"/>
      <c r="AO3" s="145"/>
      <c r="AP3" s="145"/>
      <c r="AQ3" s="145"/>
      <c r="AR3" s="145"/>
      <c r="AS3" s="145"/>
    </row>
    <row r="4" spans="1:49" x14ac:dyDescent="0.15">
      <c r="J4" s="149"/>
      <c r="K4" s="150"/>
      <c r="L4" s="150"/>
      <c r="M4" s="150"/>
      <c r="N4" s="150"/>
      <c r="O4" s="150"/>
      <c r="P4" s="150"/>
      <c r="Q4" s="151" t="s">
        <v>60</v>
      </c>
      <c r="R4" s="151" t="s">
        <v>60</v>
      </c>
      <c r="S4" s="248" t="s">
        <v>60</v>
      </c>
      <c r="AM4" s="145"/>
      <c r="AN4" s="145"/>
      <c r="AO4" s="145"/>
      <c r="AP4" s="145"/>
      <c r="AQ4" s="145"/>
      <c r="AR4" s="145"/>
      <c r="AS4" s="145"/>
    </row>
    <row r="5" spans="1:49" ht="9.75" thickBot="1" x14ac:dyDescent="0.2">
      <c r="A5" s="216" t="s">
        <v>247</v>
      </c>
      <c r="B5" s="217"/>
      <c r="J5" s="152"/>
      <c r="K5" s="153"/>
      <c r="L5" s="153"/>
      <c r="M5" s="153"/>
      <c r="N5" s="153"/>
      <c r="O5" s="153"/>
      <c r="P5" s="153"/>
      <c r="Q5" s="154">
        <f>Puljeår</f>
        <v>0</v>
      </c>
      <c r="R5" s="154">
        <f>Puljeår+1</f>
        <v>1</v>
      </c>
      <c r="S5" s="249">
        <f>Puljeår+2</f>
        <v>2</v>
      </c>
      <c r="AM5" s="145"/>
      <c r="AN5" s="145"/>
      <c r="AO5" s="145"/>
      <c r="AP5" s="145"/>
      <c r="AQ5" s="145"/>
      <c r="AR5" s="145"/>
      <c r="AS5" s="145"/>
    </row>
    <row r="6" spans="1:49" x14ac:dyDescent="0.15">
      <c r="A6" s="218"/>
      <c r="B6" s="219"/>
      <c r="J6" s="197" t="s">
        <v>231</v>
      </c>
      <c r="K6" s="196"/>
      <c r="L6" s="155"/>
      <c r="M6" s="155"/>
      <c r="N6" s="155"/>
      <c r="O6" s="155"/>
      <c r="P6" s="155"/>
      <c r="Q6" s="235">
        <v>0</v>
      </c>
      <c r="R6" s="235">
        <v>0</v>
      </c>
      <c r="S6" s="291">
        <v>0</v>
      </c>
      <c r="AM6" s="145"/>
      <c r="AN6" s="145"/>
      <c r="AO6" s="145"/>
      <c r="AP6" s="145"/>
      <c r="AQ6" s="145"/>
      <c r="AR6" s="145"/>
      <c r="AS6" s="145"/>
    </row>
    <row r="7" spans="1:49" x14ac:dyDescent="0.15">
      <c r="A7" s="216" t="s">
        <v>248</v>
      </c>
      <c r="B7" s="217"/>
      <c r="J7" s="239" t="s">
        <v>325</v>
      </c>
      <c r="K7" s="238"/>
      <c r="L7" s="156"/>
      <c r="M7" s="156"/>
      <c r="N7" s="156"/>
      <c r="O7" s="156"/>
      <c r="P7" s="156"/>
      <c r="Q7" s="298">
        <v>0</v>
      </c>
      <c r="R7" s="298">
        <v>0</v>
      </c>
      <c r="S7" s="299">
        <v>0</v>
      </c>
      <c r="AM7" s="145"/>
      <c r="AN7" s="145"/>
      <c r="AO7" s="145"/>
      <c r="AP7" s="145"/>
      <c r="AQ7" s="145"/>
      <c r="AR7" s="145"/>
      <c r="AS7" s="145"/>
    </row>
    <row r="8" spans="1:49" x14ac:dyDescent="0.15">
      <c r="A8" s="218"/>
      <c r="B8" s="219"/>
      <c r="J8" s="237" t="s">
        <v>173</v>
      </c>
      <c r="K8" s="196"/>
      <c r="L8" s="155"/>
      <c r="M8" s="155"/>
      <c r="N8" s="155"/>
      <c r="O8" s="155"/>
      <c r="P8" s="155"/>
      <c r="Q8" s="214">
        <f>SUM(Q6:Q7)</f>
        <v>0</v>
      </c>
      <c r="R8" s="235">
        <f>SUM(R6:R7)</f>
        <v>0</v>
      </c>
      <c r="S8" s="215">
        <f>SUM(S6:S7)</f>
        <v>0</v>
      </c>
      <c r="AM8" s="145"/>
      <c r="AN8" s="145"/>
      <c r="AO8" s="145"/>
      <c r="AP8" s="145"/>
      <c r="AQ8" s="145"/>
      <c r="AR8" s="145"/>
      <c r="AS8" s="145"/>
    </row>
    <row r="9" spans="1:49" ht="9" customHeight="1" x14ac:dyDescent="0.15">
      <c r="A9" s="212"/>
      <c r="B9" s="212"/>
      <c r="J9" s="213" t="s">
        <v>167</v>
      </c>
      <c r="K9" s="196"/>
      <c r="L9" s="155"/>
      <c r="M9" s="155"/>
      <c r="N9" s="155"/>
      <c r="O9" s="155"/>
      <c r="P9" s="155"/>
      <c r="Q9" s="214">
        <f>SUMIF(V:V,1,AS:AS)*-1</f>
        <v>0</v>
      </c>
      <c r="R9" s="214">
        <f>SUMIF(V:V,1,AT:AT)*-1</f>
        <v>0</v>
      </c>
      <c r="S9" s="215">
        <f>SUMIF(V:V,1,AU:AU)*-1</f>
        <v>0</v>
      </c>
      <c r="AM9" s="145"/>
      <c r="AN9" s="145"/>
      <c r="AO9" s="145"/>
      <c r="AP9" s="145"/>
      <c r="AQ9" s="145"/>
      <c r="AR9" s="145"/>
      <c r="AS9" s="145"/>
    </row>
    <row r="10" spans="1:49" ht="9" customHeight="1" thickBot="1" x14ac:dyDescent="0.2">
      <c r="J10" s="290" t="s">
        <v>286</v>
      </c>
      <c r="K10" s="289"/>
      <c r="L10" s="289"/>
      <c r="M10" s="289"/>
      <c r="N10" s="289"/>
      <c r="O10" s="289"/>
      <c r="P10" s="289"/>
      <c r="Q10" s="214">
        <f>SUMIF(V:V,0,AS:AS)*-1</f>
        <v>0</v>
      </c>
      <c r="R10" s="214">
        <f>SUMIF(V:V,0,AT:AT)*-1</f>
        <v>0</v>
      </c>
      <c r="S10" s="215">
        <f>SUMIF(V:V,0,AU:AU)*-1</f>
        <v>0</v>
      </c>
      <c r="AM10" s="145"/>
      <c r="AN10" s="145"/>
      <c r="AO10" s="145"/>
      <c r="AP10" s="145"/>
      <c r="AQ10" s="145"/>
      <c r="AR10" s="145"/>
      <c r="AS10" s="145"/>
    </row>
    <row r="11" spans="1:49" ht="9" customHeight="1" thickBot="1" x14ac:dyDescent="0.2">
      <c r="J11" s="276" t="s">
        <v>61</v>
      </c>
      <c r="K11" s="277"/>
      <c r="L11" s="277"/>
      <c r="M11" s="277"/>
      <c r="N11" s="277"/>
      <c r="O11" s="277"/>
      <c r="P11" s="277"/>
      <c r="Q11" s="278">
        <f>SUM(Q8:Q10)</f>
        <v>0</v>
      </c>
      <c r="R11" s="278">
        <f>SUM(R8:R10)</f>
        <v>0</v>
      </c>
      <c r="S11" s="282">
        <f>SUM(S8:S10)</f>
        <v>0</v>
      </c>
      <c r="AM11" s="145"/>
      <c r="AN11" s="145"/>
      <c r="AO11" s="145"/>
      <c r="AP11" s="145"/>
      <c r="AQ11" s="145"/>
      <c r="AR11" s="145"/>
      <c r="AS11" s="145"/>
    </row>
    <row r="12" spans="1:49" ht="9.75" thickBot="1" x14ac:dyDescent="0.2">
      <c r="A12" s="241" t="s">
        <v>178</v>
      </c>
      <c r="B12" s="241" t="s">
        <v>179</v>
      </c>
      <c r="C12" s="241" t="s">
        <v>176</v>
      </c>
      <c r="D12" s="241" t="s">
        <v>177</v>
      </c>
      <c r="E12" s="241" t="s">
        <v>180</v>
      </c>
      <c r="F12" s="241" t="s">
        <v>181</v>
      </c>
      <c r="G12" s="241" t="s">
        <v>182</v>
      </c>
      <c r="H12" s="241" t="s">
        <v>183</v>
      </c>
      <c r="I12" s="241" t="s">
        <v>184</v>
      </c>
      <c r="J12" s="241" t="s">
        <v>185</v>
      </c>
      <c r="K12" s="241" t="s">
        <v>193</v>
      </c>
      <c r="L12" s="241" t="s">
        <v>186</v>
      </c>
      <c r="M12" s="241" t="s">
        <v>194</v>
      </c>
      <c r="N12" s="241" t="s">
        <v>187</v>
      </c>
      <c r="O12" s="241" t="s">
        <v>188</v>
      </c>
      <c r="P12" s="241" t="s">
        <v>189</v>
      </c>
      <c r="Q12" s="241" t="s">
        <v>190</v>
      </c>
      <c r="R12" s="241" t="s">
        <v>191</v>
      </c>
      <c r="S12" s="241" t="s">
        <v>192</v>
      </c>
    </row>
    <row r="13" spans="1:49" x14ac:dyDescent="0.15">
      <c r="A13" s="146" t="s">
        <v>174</v>
      </c>
      <c r="B13" s="147" t="s">
        <v>66</v>
      </c>
      <c r="C13" s="147" t="s">
        <v>114</v>
      </c>
      <c r="D13" s="147"/>
      <c r="E13" s="147" t="s">
        <v>107</v>
      </c>
      <c r="F13" s="147" t="s">
        <v>117</v>
      </c>
      <c r="G13" s="147" t="s">
        <v>62</v>
      </c>
      <c r="H13" s="147" t="s">
        <v>62</v>
      </c>
      <c r="I13" s="147" t="s">
        <v>150</v>
      </c>
      <c r="J13" s="147" t="s">
        <v>5</v>
      </c>
      <c r="K13" s="147" t="s">
        <v>121</v>
      </c>
      <c r="L13" s="147" t="s">
        <v>121</v>
      </c>
      <c r="M13" s="147" t="s">
        <v>63</v>
      </c>
      <c r="N13" s="147" t="s">
        <v>64</v>
      </c>
      <c r="O13" s="147" t="s">
        <v>64</v>
      </c>
      <c r="P13" s="147" t="s">
        <v>64</v>
      </c>
      <c r="Q13" s="148" t="s">
        <v>59</v>
      </c>
      <c r="R13" s="157"/>
      <c r="S13" s="247"/>
      <c r="U13" s="158"/>
      <c r="V13" s="158"/>
      <c r="W13" s="158"/>
      <c r="X13" s="158"/>
      <c r="Y13" s="158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x14ac:dyDescent="0.15">
      <c r="A14" s="149"/>
      <c r="B14" s="150"/>
      <c r="C14" s="150" t="s">
        <v>115</v>
      </c>
      <c r="D14" s="150"/>
      <c r="E14" s="150" t="s">
        <v>108</v>
      </c>
      <c r="F14" s="150" t="s">
        <v>118</v>
      </c>
      <c r="G14" s="150" t="s">
        <v>67</v>
      </c>
      <c r="H14" s="150" t="s">
        <v>68</v>
      </c>
      <c r="I14" s="150" t="s">
        <v>69</v>
      </c>
      <c r="J14" s="150" t="s">
        <v>164</v>
      </c>
      <c r="K14" s="150" t="s">
        <v>122</v>
      </c>
      <c r="L14" s="150" t="s">
        <v>122</v>
      </c>
      <c r="M14" s="150" t="s">
        <v>71</v>
      </c>
      <c r="N14" s="271">
        <f>Puljeår</f>
        <v>0</v>
      </c>
      <c r="O14" s="271">
        <f>Puljeår+1</f>
        <v>1</v>
      </c>
      <c r="P14" s="271">
        <f>Puljeår+2</f>
        <v>2</v>
      </c>
      <c r="Q14" s="160" t="s">
        <v>60</v>
      </c>
      <c r="R14" s="160" t="s">
        <v>60</v>
      </c>
      <c r="S14" s="248" t="s">
        <v>60</v>
      </c>
    </row>
    <row r="15" spans="1:49" x14ac:dyDescent="0.15">
      <c r="A15" s="149"/>
      <c r="B15" s="150"/>
      <c r="C15" s="150" t="s">
        <v>109</v>
      </c>
      <c r="D15" s="161"/>
      <c r="E15" s="161" t="s">
        <v>111</v>
      </c>
      <c r="F15" s="161" t="s">
        <v>119</v>
      </c>
      <c r="G15" s="150" t="s">
        <v>73</v>
      </c>
      <c r="H15" s="150" t="s">
        <v>74</v>
      </c>
      <c r="I15" s="150" t="s">
        <v>2</v>
      </c>
      <c r="J15" s="150" t="s">
        <v>165</v>
      </c>
      <c r="K15" s="150" t="s">
        <v>62</v>
      </c>
      <c r="L15" s="150" t="s">
        <v>71</v>
      </c>
      <c r="M15" s="150" t="s">
        <v>75</v>
      </c>
      <c r="N15" s="150" t="s">
        <v>62</v>
      </c>
      <c r="O15" s="150" t="s">
        <v>62</v>
      </c>
      <c r="P15" s="150" t="s">
        <v>62</v>
      </c>
      <c r="Q15" s="269">
        <f>Puljeår</f>
        <v>0</v>
      </c>
      <c r="R15" s="269">
        <f>Puljeår+1</f>
        <v>1</v>
      </c>
      <c r="S15" s="270">
        <f>Puljeår+2</f>
        <v>2</v>
      </c>
    </row>
    <row r="16" spans="1:49" x14ac:dyDescent="0.15">
      <c r="A16" s="149"/>
      <c r="B16" s="150"/>
      <c r="C16" s="150" t="s">
        <v>110</v>
      </c>
      <c r="D16" s="161"/>
      <c r="E16" s="161" t="s">
        <v>112</v>
      </c>
      <c r="F16" s="161"/>
      <c r="G16" s="150" t="s">
        <v>116</v>
      </c>
      <c r="H16" s="150" t="s">
        <v>67</v>
      </c>
      <c r="I16" s="150"/>
      <c r="J16" s="195" t="s">
        <v>285</v>
      </c>
      <c r="K16" s="150" t="s">
        <v>123</v>
      </c>
      <c r="L16" s="150" t="s">
        <v>70</v>
      </c>
      <c r="M16" s="181"/>
      <c r="N16" s="150" t="s">
        <v>76</v>
      </c>
      <c r="O16" s="150" t="s">
        <v>76</v>
      </c>
      <c r="P16" s="150" t="s">
        <v>76</v>
      </c>
      <c r="Q16" s="162"/>
      <c r="R16" s="162"/>
      <c r="S16" s="250"/>
      <c r="U16" s="144" t="s">
        <v>166</v>
      </c>
      <c r="V16" s="144" t="s">
        <v>258</v>
      </c>
      <c r="W16" s="144" t="s">
        <v>136</v>
      </c>
      <c r="X16" s="144" t="s">
        <v>142</v>
      </c>
      <c r="Y16" s="144" t="s">
        <v>280</v>
      </c>
      <c r="Z16" s="144" t="s">
        <v>21</v>
      </c>
      <c r="AA16" s="144" t="s">
        <v>22</v>
      </c>
      <c r="AB16" s="144" t="s">
        <v>126</v>
      </c>
      <c r="AC16" s="144" t="s">
        <v>126</v>
      </c>
      <c r="AD16" s="144" t="s">
        <v>131</v>
      </c>
      <c r="AE16" s="144" t="s">
        <v>131</v>
      </c>
      <c r="AF16" s="144" t="s">
        <v>131</v>
      </c>
      <c r="AG16" s="144" t="s">
        <v>131</v>
      </c>
      <c r="AH16" s="144" t="s">
        <v>143</v>
      </c>
      <c r="AJ16" s="144" t="s">
        <v>132</v>
      </c>
      <c r="AK16" s="144" t="s">
        <v>132</v>
      </c>
      <c r="AM16" s="144" t="s">
        <v>77</v>
      </c>
      <c r="AN16" s="144" t="s">
        <v>134</v>
      </c>
      <c r="AO16" s="144" t="s">
        <v>139</v>
      </c>
      <c r="AS16" s="734" t="s">
        <v>269</v>
      </c>
      <c r="AT16" s="734"/>
      <c r="AU16" s="734"/>
      <c r="AW16" s="144" t="s">
        <v>158</v>
      </c>
    </row>
    <row r="17" spans="1:49" x14ac:dyDescent="0.15">
      <c r="A17" s="149"/>
      <c r="B17" s="150"/>
      <c r="C17" s="150" t="s">
        <v>147</v>
      </c>
      <c r="D17" s="161"/>
      <c r="E17" s="161" t="s">
        <v>113</v>
      </c>
      <c r="F17" s="161"/>
      <c r="G17" s="150"/>
      <c r="H17" s="150" t="s">
        <v>73</v>
      </c>
      <c r="I17" s="150"/>
      <c r="J17" s="150"/>
      <c r="K17" s="150"/>
      <c r="L17" s="150" t="s">
        <v>212</v>
      </c>
      <c r="M17" s="150"/>
      <c r="N17" s="150"/>
      <c r="O17" s="150"/>
      <c r="P17" s="150"/>
      <c r="Q17" s="162"/>
      <c r="R17" s="162"/>
      <c r="S17" s="250"/>
      <c r="V17" s="144" t="s">
        <v>259</v>
      </c>
      <c r="X17" s="144" t="s">
        <v>144</v>
      </c>
      <c r="Y17" s="144" t="s">
        <v>281</v>
      </c>
      <c r="Z17" s="144" t="s">
        <v>125</v>
      </c>
      <c r="AA17" s="144" t="s">
        <v>125</v>
      </c>
      <c r="AB17" s="144" t="s">
        <v>125</v>
      </c>
      <c r="AC17" s="144" t="s">
        <v>22</v>
      </c>
      <c r="AD17" s="144" t="s">
        <v>2</v>
      </c>
      <c r="AE17" s="144" t="s">
        <v>2</v>
      </c>
      <c r="AF17" s="144" t="s">
        <v>5</v>
      </c>
      <c r="AG17" s="144" t="s">
        <v>5</v>
      </c>
      <c r="AH17" s="144" t="s">
        <v>125</v>
      </c>
      <c r="AJ17" s="144" t="s">
        <v>125</v>
      </c>
      <c r="AK17" s="144" t="s">
        <v>133</v>
      </c>
      <c r="AM17" s="144" t="s">
        <v>79</v>
      </c>
      <c r="AN17" s="144" t="s">
        <v>135</v>
      </c>
      <c r="AO17" s="163" t="s">
        <v>140</v>
      </c>
      <c r="AP17" s="163"/>
      <c r="AQ17" s="163"/>
      <c r="AR17" s="163"/>
      <c r="AS17" s="163"/>
      <c r="AT17" s="163"/>
      <c r="AU17" s="163"/>
      <c r="AW17" s="144" t="s">
        <v>159</v>
      </c>
    </row>
    <row r="18" spans="1:49" x14ac:dyDescent="0.15">
      <c r="A18" s="149"/>
      <c r="B18" s="150"/>
      <c r="C18" s="150" t="s">
        <v>148</v>
      </c>
      <c r="D18" s="161"/>
      <c r="E18" s="161" t="s">
        <v>283</v>
      </c>
      <c r="F18" s="161"/>
      <c r="G18" s="150"/>
      <c r="H18" s="150" t="s">
        <v>116</v>
      </c>
      <c r="I18" s="150"/>
      <c r="J18" s="150"/>
      <c r="K18" s="150"/>
      <c r="L18" s="195" t="s">
        <v>285</v>
      </c>
      <c r="M18" s="150"/>
      <c r="N18" s="150"/>
      <c r="O18" s="150"/>
      <c r="P18" s="150"/>
      <c r="Q18" s="162"/>
      <c r="R18" s="162"/>
      <c r="S18" s="250"/>
      <c r="AC18" s="144" t="s">
        <v>125</v>
      </c>
      <c r="AD18" s="144" t="s">
        <v>125</v>
      </c>
      <c r="AE18" s="144" t="s">
        <v>125</v>
      </c>
      <c r="AF18" s="144" t="s">
        <v>125</v>
      </c>
      <c r="AG18" s="144" t="s">
        <v>125</v>
      </c>
      <c r="AM18" s="144" t="s">
        <v>80</v>
      </c>
      <c r="AN18" s="144" t="s">
        <v>136</v>
      </c>
      <c r="AO18" s="144" t="s">
        <v>141</v>
      </c>
      <c r="AP18" s="144" t="s">
        <v>141</v>
      </c>
      <c r="AQ18" s="144" t="s">
        <v>141</v>
      </c>
      <c r="AS18" s="281">
        <f>Q15</f>
        <v>0</v>
      </c>
      <c r="AT18" s="281">
        <f>R15</f>
        <v>1</v>
      </c>
      <c r="AU18" s="281">
        <f>S15</f>
        <v>2</v>
      </c>
      <c r="AW18" s="144">
        <f>MAX(AW20:AW308)</f>
        <v>0</v>
      </c>
    </row>
    <row r="19" spans="1:49" x14ac:dyDescent="0.15">
      <c r="A19" s="149"/>
      <c r="B19" s="150"/>
      <c r="C19" s="150" t="s">
        <v>196</v>
      </c>
      <c r="D19" s="161"/>
      <c r="E19" s="161" t="s">
        <v>284</v>
      </c>
      <c r="F19" s="161"/>
      <c r="G19" s="150"/>
      <c r="H19" s="150"/>
      <c r="I19" s="150"/>
      <c r="J19" s="150"/>
      <c r="K19" s="150"/>
      <c r="L19" s="195"/>
      <c r="M19" s="150"/>
      <c r="N19" s="150"/>
      <c r="O19" s="150"/>
      <c r="P19" s="150"/>
      <c r="Q19" s="162"/>
      <c r="R19" s="162"/>
      <c r="S19" s="250"/>
      <c r="AE19" s="144" t="s">
        <v>22</v>
      </c>
      <c r="AG19" s="144" t="s">
        <v>22</v>
      </c>
      <c r="AQ19" s="144" t="s">
        <v>22</v>
      </c>
      <c r="AS19" s="281"/>
      <c r="AT19" s="281"/>
      <c r="AU19" s="281"/>
    </row>
    <row r="20" spans="1:49" ht="9.75" thickBot="1" x14ac:dyDescent="0.2">
      <c r="A20" s="152"/>
      <c r="B20" s="153"/>
      <c r="C20" s="150"/>
      <c r="D20" s="161"/>
      <c r="E20" s="161" t="s">
        <v>288</v>
      </c>
      <c r="F20" s="161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64"/>
      <c r="R20" s="164"/>
      <c r="S20" s="246"/>
    </row>
    <row r="21" spans="1:49" ht="9.75" thickBot="1" x14ac:dyDescent="0.2">
      <c r="A21" s="173"/>
      <c r="B21" s="174"/>
      <c r="C21" s="174"/>
      <c r="D21" s="165" t="str">
        <f t="shared" ref="D21:D111" si="0">VLOOKUP(C21,Tabelændringskode,2,1)</f>
        <v xml:space="preserve"> </v>
      </c>
      <c r="E21" s="177"/>
      <c r="F21" s="287">
        <v>0</v>
      </c>
      <c r="G21" s="177">
        <v>37</v>
      </c>
      <c r="H21" s="177">
        <v>37</v>
      </c>
      <c r="I21" s="177"/>
      <c r="J21" s="179"/>
      <c r="K21" s="177"/>
      <c r="L21" s="179"/>
      <c r="M21" s="166"/>
      <c r="N21" s="166"/>
      <c r="O21" s="166"/>
      <c r="P21" s="166"/>
      <c r="Q21" s="167"/>
      <c r="R21" s="167"/>
      <c r="S21" s="168"/>
      <c r="V21" s="144">
        <f>VLOOKUP(C21,TabelRammeforbrug,3,1)</f>
        <v>0</v>
      </c>
      <c r="W21" s="144">
        <f>VLOOKUP(C21,FraTil,3,1)</f>
        <v>0</v>
      </c>
      <c r="X21" s="144">
        <f>VLOOKUP(C21,JNferiepenge,3,1)</f>
        <v>0</v>
      </c>
      <c r="Y21" s="144">
        <f>VLOOKUP(E21,TabelPctReg,2)</f>
        <v>34.464599999999997</v>
      </c>
      <c r="Z21" s="169">
        <f t="shared" ref="Z21:Z84" si="1">ROUND(VLOOKUP(I21,TabelLønninger,VLOOKUP(E21,TabelLøntabel,2,1),1)*G21/H21,2)</f>
        <v>0</v>
      </c>
      <c r="AA21" s="274">
        <f t="shared" ref="AA21:AA84" si="2">ROUND(VLOOKUP(I21,TabelLønninger,VLOOKUP(E21,TabelPensgivLøn,2))*F21/12*G21/H21,2)</f>
        <v>0</v>
      </c>
      <c r="AB21" s="169">
        <f>ROUND(J21/12*(1+Y21%),2)*G21/H21</f>
        <v>0</v>
      </c>
      <c r="AC21" s="274">
        <f t="shared" ref="AC21:AC84" si="3">ROUND(AB21*F21,2)</f>
        <v>0</v>
      </c>
      <c r="AD21" s="169">
        <f t="shared" ref="AD21:AD84" si="4">ROUND(VLOOKUP(I21+K21,TabelLønninger,VLOOKUP(E21,TabelLøntabel,2,1),1)*G21/H21,2)-Z21</f>
        <v>0</v>
      </c>
      <c r="AE21" s="274">
        <f t="shared" ref="AE21:AE84" si="5">ROUND(VLOOKUP(I21+K21,TabelLønninger,VLOOKUP(E21,TabelPensgivLøn,2))*F21/12*G21/H21,2)-AA21</f>
        <v>0</v>
      </c>
      <c r="AF21" s="169">
        <f>ROUND(L21/12*(1+Y21%),2)*G21/H21</f>
        <v>0</v>
      </c>
      <c r="AG21" s="274">
        <f t="shared" ref="AG21:AG84" si="6">ROUND(AF21*F21,2)</f>
        <v>0</v>
      </c>
      <c r="AH21" s="169">
        <f>ROUND((Z21+AB21+AD21+AF21)*X21%,2)</f>
        <v>0</v>
      </c>
      <c r="AI21" s="169"/>
      <c r="AJ21" s="169">
        <f>SUM(Z21:AH21)</f>
        <v>0</v>
      </c>
      <c r="AK21" s="169">
        <f>AJ21*12</f>
        <v>0</v>
      </c>
      <c r="AL21" s="169"/>
      <c r="AM21" s="169"/>
      <c r="AN21" s="169"/>
      <c r="AO21" s="169"/>
      <c r="AP21" s="169"/>
      <c r="AQ21" s="169"/>
      <c r="AW21" s="144">
        <f>IF(ISNUMBER(C21),ROW(),0)</f>
        <v>0</v>
      </c>
    </row>
    <row r="22" spans="1:49" ht="9.75" thickBot="1" x14ac:dyDescent="0.2">
      <c r="A22" s="175"/>
      <c r="B22" s="176"/>
      <c r="C22" s="176"/>
      <c r="D22" s="165" t="str">
        <f t="shared" si="0"/>
        <v xml:space="preserve"> </v>
      </c>
      <c r="E22" s="178"/>
      <c r="F22" s="287">
        <v>0</v>
      </c>
      <c r="G22" s="178">
        <v>37</v>
      </c>
      <c r="H22" s="178">
        <v>37</v>
      </c>
      <c r="I22" s="178"/>
      <c r="J22" s="180"/>
      <c r="K22" s="178"/>
      <c r="L22" s="180"/>
      <c r="M22" s="180"/>
      <c r="N22" s="178"/>
      <c r="O22" s="178"/>
      <c r="P22" s="178"/>
      <c r="Q22" s="171">
        <f>AS22</f>
        <v>0</v>
      </c>
      <c r="R22" s="171">
        <f>AT22</f>
        <v>0</v>
      </c>
      <c r="S22" s="172">
        <f>AU22</f>
        <v>0</v>
      </c>
      <c r="U22" s="144">
        <f>IF(OR(C21=5,C22=5),0,1)</f>
        <v>1</v>
      </c>
      <c r="V22" s="144">
        <f t="shared" ref="V22:V85" si="7">VLOOKUP(C22,TabelRammeforbrug,3,1)</f>
        <v>0</v>
      </c>
      <c r="W22" s="144">
        <f t="shared" ref="W22:W85" si="8">VLOOKUP(C22,FraTil,3,1)</f>
        <v>0</v>
      </c>
      <c r="X22" s="144">
        <f t="shared" ref="X22:X40" si="9">VLOOKUP(C22,JNferiepenge,3,1)</f>
        <v>0</v>
      </c>
      <c r="Y22" s="144">
        <f t="shared" ref="Y22:Y85" si="10">VLOOKUP(E22,TabelPctReg,2)</f>
        <v>34.464599999999997</v>
      </c>
      <c r="Z22" s="169">
        <f t="shared" si="1"/>
        <v>0</v>
      </c>
      <c r="AA22" s="274">
        <f t="shared" si="2"/>
        <v>0</v>
      </c>
      <c r="AB22" s="169">
        <f t="shared" ref="AB22:AB85" si="11">ROUND(J22/12*(1+Y22%),2)*G22/H22</f>
        <v>0</v>
      </c>
      <c r="AC22" s="274">
        <f t="shared" si="3"/>
        <v>0</v>
      </c>
      <c r="AD22" s="169">
        <f t="shared" si="4"/>
        <v>0</v>
      </c>
      <c r="AE22" s="274">
        <f t="shared" si="5"/>
        <v>0</v>
      </c>
      <c r="AF22" s="169">
        <f t="shared" ref="AF22:AF85" si="12">ROUND(L22/12*(1+Y22%),2)*G22/H22</f>
        <v>0</v>
      </c>
      <c r="AG22" s="274">
        <f t="shared" si="6"/>
        <v>0</v>
      </c>
      <c r="AH22" s="169">
        <f t="shared" ref="AH22:AH85" si="13">ROUND((Z22+AB22+AD22+AF22)*X22%,2)</f>
        <v>0</v>
      </c>
      <c r="AI22" s="169"/>
      <c r="AJ22" s="169">
        <f t="shared" ref="AJ22:AJ85" si="14">SUM(Z22:AH22)</f>
        <v>0</v>
      </c>
      <c r="AK22" s="169">
        <f t="shared" ref="AK22:AK85" si="15">AJ22*12</f>
        <v>0</v>
      </c>
      <c r="AL22" s="169"/>
      <c r="AM22" s="169">
        <f>AK21*W21+AK22*W22</f>
        <v>0</v>
      </c>
      <c r="AN22" s="169">
        <f>(SUM(AD21:AG21)*W21+SUM(AD22:AG22)*W22)*12*VLOOKUP(C22,JNovergang,3,1)</f>
        <v>0</v>
      </c>
      <c r="AO22" s="169">
        <f>AM22-AN22</f>
        <v>0</v>
      </c>
      <c r="AP22" s="169">
        <f>M22*(100+X22)%</f>
        <v>0</v>
      </c>
      <c r="AQ22" s="274">
        <f>ROUND(M22*F22,2)</f>
        <v>0</v>
      </c>
      <c r="AS22" s="274">
        <f>ROUND((AP22+AQ22)+AM22*(N22/12),0)</f>
        <v>0</v>
      </c>
      <c r="AT22" s="274">
        <f>ROUND(AM22*(O22/12),0)</f>
        <v>0</v>
      </c>
      <c r="AU22" s="274">
        <f>ROUND(AM22*(P22/12)*U22,0)</f>
        <v>0</v>
      </c>
      <c r="AW22" s="144">
        <f t="shared" ref="AW22:AW85" si="16">IF(ISNUMBER(C22),ROW(),0)</f>
        <v>0</v>
      </c>
    </row>
    <row r="23" spans="1:49" x14ac:dyDescent="0.15">
      <c r="A23" s="173"/>
      <c r="B23" s="174"/>
      <c r="C23" s="174"/>
      <c r="D23" s="165" t="str">
        <f t="shared" si="0"/>
        <v xml:space="preserve"> </v>
      </c>
      <c r="E23" s="177"/>
      <c r="F23" s="287">
        <v>0</v>
      </c>
      <c r="G23" s="177">
        <v>37</v>
      </c>
      <c r="H23" s="177">
        <v>37</v>
      </c>
      <c r="I23" s="177"/>
      <c r="J23" s="179"/>
      <c r="K23" s="177"/>
      <c r="L23" s="179"/>
      <c r="M23" s="166"/>
      <c r="N23" s="166"/>
      <c r="O23" s="166"/>
      <c r="P23" s="166"/>
      <c r="Q23" s="167"/>
      <c r="R23" s="167"/>
      <c r="S23" s="168"/>
      <c r="V23" s="144">
        <f t="shared" si="7"/>
        <v>0</v>
      </c>
      <c r="W23" s="144">
        <f t="shared" si="8"/>
        <v>0</v>
      </c>
      <c r="X23" s="144">
        <f t="shared" si="9"/>
        <v>0</v>
      </c>
      <c r="Y23" s="144">
        <f t="shared" si="10"/>
        <v>34.464599999999997</v>
      </c>
      <c r="Z23" s="169">
        <f t="shared" si="1"/>
        <v>0</v>
      </c>
      <c r="AA23" s="274">
        <f t="shared" si="2"/>
        <v>0</v>
      </c>
      <c r="AB23" s="169">
        <f t="shared" si="11"/>
        <v>0</v>
      </c>
      <c r="AC23" s="274">
        <f t="shared" si="3"/>
        <v>0</v>
      </c>
      <c r="AD23" s="169">
        <f t="shared" si="4"/>
        <v>0</v>
      </c>
      <c r="AE23" s="274">
        <f t="shared" si="5"/>
        <v>0</v>
      </c>
      <c r="AF23" s="169">
        <f t="shared" si="12"/>
        <v>0</v>
      </c>
      <c r="AG23" s="274">
        <f t="shared" si="6"/>
        <v>0</v>
      </c>
      <c r="AH23" s="169">
        <f t="shared" si="13"/>
        <v>0</v>
      </c>
      <c r="AI23" s="169"/>
      <c r="AJ23" s="169">
        <f t="shared" si="14"/>
        <v>0</v>
      </c>
      <c r="AK23" s="169">
        <f t="shared" si="15"/>
        <v>0</v>
      </c>
      <c r="AL23" s="169"/>
      <c r="AM23" s="169"/>
      <c r="AN23" s="169"/>
      <c r="AQ23" s="169"/>
      <c r="AW23" s="144">
        <f t="shared" si="16"/>
        <v>0</v>
      </c>
    </row>
    <row r="24" spans="1:49" ht="9.75" thickBot="1" x14ac:dyDescent="0.2">
      <c r="A24" s="175"/>
      <c r="B24" s="176"/>
      <c r="C24" s="176"/>
      <c r="D24" s="170" t="str">
        <f t="shared" si="0"/>
        <v xml:space="preserve"> </v>
      </c>
      <c r="E24" s="178"/>
      <c r="F24" s="288">
        <v>0</v>
      </c>
      <c r="G24" s="178">
        <v>37</v>
      </c>
      <c r="H24" s="178">
        <v>37</v>
      </c>
      <c r="I24" s="178"/>
      <c r="J24" s="180"/>
      <c r="K24" s="178"/>
      <c r="L24" s="180"/>
      <c r="M24" s="180"/>
      <c r="N24" s="178"/>
      <c r="O24" s="178"/>
      <c r="P24" s="178"/>
      <c r="Q24" s="171">
        <f>AS24</f>
        <v>0</v>
      </c>
      <c r="R24" s="171">
        <f>AT24</f>
        <v>0</v>
      </c>
      <c r="S24" s="172">
        <f>AU24</f>
        <v>0</v>
      </c>
      <c r="U24" s="144">
        <f>IF(OR(C23=5,C24=5),0,1)</f>
        <v>1</v>
      </c>
      <c r="V24" s="144">
        <f t="shared" si="7"/>
        <v>0</v>
      </c>
      <c r="W24" s="144">
        <f t="shared" si="8"/>
        <v>0</v>
      </c>
      <c r="X24" s="144">
        <f t="shared" si="9"/>
        <v>0</v>
      </c>
      <c r="Y24" s="144">
        <f t="shared" si="10"/>
        <v>34.464599999999997</v>
      </c>
      <c r="Z24" s="169">
        <f t="shared" si="1"/>
        <v>0</v>
      </c>
      <c r="AA24" s="274">
        <f t="shared" si="2"/>
        <v>0</v>
      </c>
      <c r="AB24" s="169">
        <f t="shared" si="11"/>
        <v>0</v>
      </c>
      <c r="AC24" s="274">
        <f t="shared" si="3"/>
        <v>0</v>
      </c>
      <c r="AD24" s="169">
        <f t="shared" si="4"/>
        <v>0</v>
      </c>
      <c r="AE24" s="274">
        <f t="shared" si="5"/>
        <v>0</v>
      </c>
      <c r="AF24" s="169">
        <f t="shared" si="12"/>
        <v>0</v>
      </c>
      <c r="AG24" s="274">
        <f t="shared" si="6"/>
        <v>0</v>
      </c>
      <c r="AH24" s="169">
        <f t="shared" si="13"/>
        <v>0</v>
      </c>
      <c r="AI24" s="169"/>
      <c r="AJ24" s="169">
        <f t="shared" si="14"/>
        <v>0</v>
      </c>
      <c r="AK24" s="169">
        <f t="shared" si="15"/>
        <v>0</v>
      </c>
      <c r="AL24" s="169"/>
      <c r="AM24" s="169">
        <f>AK23*W23+AK24*W24</f>
        <v>0</v>
      </c>
      <c r="AN24" s="169">
        <f>(SUM(AD23:AG23)*W23+SUM(AD24:AG24)*W24)*12*VLOOKUP(C24,JNovergang,3,1)</f>
        <v>0</v>
      </c>
      <c r="AO24" s="169">
        <f>AM24-AN24</f>
        <v>0</v>
      </c>
      <c r="AP24" s="169">
        <f>M24*(100+X24)%</f>
        <v>0</v>
      </c>
      <c r="AQ24" s="274">
        <f>ROUND(M24*F24,2)</f>
        <v>0</v>
      </c>
      <c r="AS24" s="274">
        <f>ROUND((AP24+AQ24)+AM24*(N24/12),0)</f>
        <v>0</v>
      </c>
      <c r="AT24" s="274">
        <f>ROUND(AM24*(O24/12),0)</f>
        <v>0</v>
      </c>
      <c r="AU24" s="274">
        <f>ROUND(AM24*(P24/12)*U24,0)</f>
        <v>0</v>
      </c>
      <c r="AW24" s="144">
        <f t="shared" si="16"/>
        <v>0</v>
      </c>
    </row>
    <row r="25" spans="1:49" x14ac:dyDescent="0.15">
      <c r="A25" s="173"/>
      <c r="B25" s="174"/>
      <c r="C25" s="174"/>
      <c r="D25" s="165" t="str">
        <f t="shared" si="0"/>
        <v xml:space="preserve"> </v>
      </c>
      <c r="E25" s="177"/>
      <c r="F25" s="287">
        <v>0</v>
      </c>
      <c r="G25" s="177">
        <v>37</v>
      </c>
      <c r="H25" s="177">
        <v>37</v>
      </c>
      <c r="I25" s="177"/>
      <c r="J25" s="179"/>
      <c r="K25" s="177"/>
      <c r="L25" s="179"/>
      <c r="M25" s="166"/>
      <c r="N25" s="166"/>
      <c r="O25" s="166"/>
      <c r="P25" s="166"/>
      <c r="Q25" s="167"/>
      <c r="R25" s="167"/>
      <c r="S25" s="168"/>
      <c r="V25" s="144">
        <f t="shared" si="7"/>
        <v>0</v>
      </c>
      <c r="W25" s="144">
        <f t="shared" si="8"/>
        <v>0</v>
      </c>
      <c r="X25" s="144">
        <f t="shared" si="9"/>
        <v>0</v>
      </c>
      <c r="Y25" s="144">
        <f t="shared" si="10"/>
        <v>34.464599999999997</v>
      </c>
      <c r="Z25" s="169">
        <f t="shared" si="1"/>
        <v>0</v>
      </c>
      <c r="AA25" s="274">
        <f t="shared" si="2"/>
        <v>0</v>
      </c>
      <c r="AB25" s="169">
        <f t="shared" si="11"/>
        <v>0</v>
      </c>
      <c r="AC25" s="274">
        <f t="shared" si="3"/>
        <v>0</v>
      </c>
      <c r="AD25" s="169">
        <f t="shared" si="4"/>
        <v>0</v>
      </c>
      <c r="AE25" s="274">
        <f t="shared" si="5"/>
        <v>0</v>
      </c>
      <c r="AF25" s="169">
        <f t="shared" si="12"/>
        <v>0</v>
      </c>
      <c r="AG25" s="274">
        <f t="shared" si="6"/>
        <v>0</v>
      </c>
      <c r="AH25" s="169">
        <f t="shared" si="13"/>
        <v>0</v>
      </c>
      <c r="AI25" s="169"/>
      <c r="AJ25" s="169">
        <f t="shared" si="14"/>
        <v>0</v>
      </c>
      <c r="AK25" s="169">
        <f t="shared" si="15"/>
        <v>0</v>
      </c>
      <c r="AL25" s="169"/>
      <c r="AM25" s="169"/>
      <c r="AN25" s="169"/>
      <c r="AQ25" s="169"/>
      <c r="AW25" s="144">
        <f t="shared" si="16"/>
        <v>0</v>
      </c>
    </row>
    <row r="26" spans="1:49" ht="9.75" thickBot="1" x14ac:dyDescent="0.2">
      <c r="A26" s="175"/>
      <c r="B26" s="176"/>
      <c r="C26" s="176"/>
      <c r="D26" s="170" t="str">
        <f t="shared" si="0"/>
        <v xml:space="preserve"> </v>
      </c>
      <c r="E26" s="178"/>
      <c r="F26" s="288">
        <v>0</v>
      </c>
      <c r="G26" s="178">
        <v>37</v>
      </c>
      <c r="H26" s="178">
        <v>37</v>
      </c>
      <c r="I26" s="178"/>
      <c r="J26" s="180"/>
      <c r="K26" s="178"/>
      <c r="L26" s="180"/>
      <c r="M26" s="180"/>
      <c r="N26" s="178"/>
      <c r="O26" s="178"/>
      <c r="P26" s="178"/>
      <c r="Q26" s="171">
        <f>AS26</f>
        <v>0</v>
      </c>
      <c r="R26" s="171">
        <f>AT26</f>
        <v>0</v>
      </c>
      <c r="S26" s="172">
        <f>AU26</f>
        <v>0</v>
      </c>
      <c r="U26" s="144">
        <f>IF(OR(C25=5,C26=5),0,1)</f>
        <v>1</v>
      </c>
      <c r="V26" s="144">
        <f t="shared" si="7"/>
        <v>0</v>
      </c>
      <c r="W26" s="144">
        <f t="shared" si="8"/>
        <v>0</v>
      </c>
      <c r="X26" s="144">
        <f t="shared" si="9"/>
        <v>0</v>
      </c>
      <c r="Y26" s="144">
        <f t="shared" si="10"/>
        <v>34.464599999999997</v>
      </c>
      <c r="Z26" s="169">
        <f t="shared" si="1"/>
        <v>0</v>
      </c>
      <c r="AA26" s="274">
        <f t="shared" si="2"/>
        <v>0</v>
      </c>
      <c r="AB26" s="169">
        <f t="shared" si="11"/>
        <v>0</v>
      </c>
      <c r="AC26" s="274">
        <f t="shared" si="3"/>
        <v>0</v>
      </c>
      <c r="AD26" s="169">
        <f t="shared" si="4"/>
        <v>0</v>
      </c>
      <c r="AE26" s="274">
        <f t="shared" si="5"/>
        <v>0</v>
      </c>
      <c r="AF26" s="169">
        <f t="shared" si="12"/>
        <v>0</v>
      </c>
      <c r="AG26" s="274">
        <f t="shared" si="6"/>
        <v>0</v>
      </c>
      <c r="AH26" s="169">
        <f t="shared" si="13"/>
        <v>0</v>
      </c>
      <c r="AI26" s="169"/>
      <c r="AJ26" s="169">
        <f t="shared" si="14"/>
        <v>0</v>
      </c>
      <c r="AK26" s="169">
        <f t="shared" si="15"/>
        <v>0</v>
      </c>
      <c r="AL26" s="169"/>
      <c r="AM26" s="169">
        <f>AK25*W25+AK26*W26</f>
        <v>0</v>
      </c>
      <c r="AN26" s="169">
        <f>(SUM(AD25:AG25)*W25+SUM(AD26:AG26)*W26)*12*VLOOKUP(C26,JNovergang,3,1)</f>
        <v>0</v>
      </c>
      <c r="AO26" s="169">
        <f>AM26-AN26</f>
        <v>0</v>
      </c>
      <c r="AP26" s="169">
        <f>M26*(100+X26)%</f>
        <v>0</v>
      </c>
      <c r="AQ26" s="274">
        <f>ROUND(M26*F26,2)</f>
        <v>0</v>
      </c>
      <c r="AS26" s="274">
        <f>ROUND((AP26+AQ26)+AM26*(N26/12),0)</f>
        <v>0</v>
      </c>
      <c r="AT26" s="274">
        <f>ROUND(AM26*(O26/12),0)</f>
        <v>0</v>
      </c>
      <c r="AU26" s="274">
        <f>ROUND(AM26*(P26/12)*U26,0)</f>
        <v>0</v>
      </c>
      <c r="AW26" s="144">
        <f t="shared" si="16"/>
        <v>0</v>
      </c>
    </row>
    <row r="27" spans="1:49" x14ac:dyDescent="0.15">
      <c r="A27" s="173"/>
      <c r="B27" s="174"/>
      <c r="C27" s="174"/>
      <c r="D27" s="165" t="str">
        <f t="shared" si="0"/>
        <v xml:space="preserve"> </v>
      </c>
      <c r="E27" s="177"/>
      <c r="F27" s="287">
        <v>0</v>
      </c>
      <c r="G27" s="177">
        <v>37</v>
      </c>
      <c r="H27" s="177">
        <v>37</v>
      </c>
      <c r="I27" s="177"/>
      <c r="J27" s="179"/>
      <c r="K27" s="177"/>
      <c r="L27" s="179"/>
      <c r="M27" s="166"/>
      <c r="N27" s="166"/>
      <c r="O27" s="166"/>
      <c r="P27" s="166"/>
      <c r="Q27" s="167"/>
      <c r="R27" s="167"/>
      <c r="S27" s="168"/>
      <c r="V27" s="144">
        <f t="shared" si="7"/>
        <v>0</v>
      </c>
      <c r="W27" s="144">
        <f t="shared" si="8"/>
        <v>0</v>
      </c>
      <c r="X27" s="144">
        <f t="shared" si="9"/>
        <v>0</v>
      </c>
      <c r="Y27" s="144">
        <f t="shared" si="10"/>
        <v>34.464599999999997</v>
      </c>
      <c r="Z27" s="169">
        <f t="shared" si="1"/>
        <v>0</v>
      </c>
      <c r="AA27" s="274">
        <f t="shared" si="2"/>
        <v>0</v>
      </c>
      <c r="AB27" s="169">
        <f t="shared" si="11"/>
        <v>0</v>
      </c>
      <c r="AC27" s="274">
        <f t="shared" si="3"/>
        <v>0</v>
      </c>
      <c r="AD27" s="169">
        <f t="shared" si="4"/>
        <v>0</v>
      </c>
      <c r="AE27" s="274">
        <f t="shared" si="5"/>
        <v>0</v>
      </c>
      <c r="AF27" s="169">
        <f t="shared" si="12"/>
        <v>0</v>
      </c>
      <c r="AG27" s="274">
        <f t="shared" si="6"/>
        <v>0</v>
      </c>
      <c r="AH27" s="169">
        <f t="shared" si="13"/>
        <v>0</v>
      </c>
      <c r="AI27" s="169"/>
      <c r="AJ27" s="169">
        <f t="shared" si="14"/>
        <v>0</v>
      </c>
      <c r="AK27" s="169">
        <f t="shared" si="15"/>
        <v>0</v>
      </c>
      <c r="AL27" s="169"/>
      <c r="AM27" s="169"/>
      <c r="AN27" s="169"/>
      <c r="AQ27" s="169"/>
      <c r="AW27" s="144">
        <f t="shared" si="16"/>
        <v>0</v>
      </c>
    </row>
    <row r="28" spans="1:49" ht="9.75" thickBot="1" x14ac:dyDescent="0.2">
      <c r="A28" s="175"/>
      <c r="B28" s="176"/>
      <c r="C28" s="176"/>
      <c r="D28" s="170" t="str">
        <f t="shared" si="0"/>
        <v xml:space="preserve"> </v>
      </c>
      <c r="E28" s="178"/>
      <c r="F28" s="288">
        <v>0</v>
      </c>
      <c r="G28" s="178">
        <v>37</v>
      </c>
      <c r="H28" s="178">
        <v>37</v>
      </c>
      <c r="I28" s="178"/>
      <c r="J28" s="180"/>
      <c r="K28" s="178"/>
      <c r="L28" s="180"/>
      <c r="M28" s="180"/>
      <c r="N28" s="178"/>
      <c r="O28" s="178"/>
      <c r="P28" s="178"/>
      <c r="Q28" s="171">
        <f>AS28</f>
        <v>0</v>
      </c>
      <c r="R28" s="171">
        <f>AT28</f>
        <v>0</v>
      </c>
      <c r="S28" s="172">
        <f>AU28</f>
        <v>0</v>
      </c>
      <c r="U28" s="144">
        <f>IF(OR(C27=5,C28=5),0,1)</f>
        <v>1</v>
      </c>
      <c r="V28" s="144">
        <f t="shared" si="7"/>
        <v>0</v>
      </c>
      <c r="W28" s="144">
        <f t="shared" si="8"/>
        <v>0</v>
      </c>
      <c r="X28" s="144">
        <f t="shared" si="9"/>
        <v>0</v>
      </c>
      <c r="Y28" s="144">
        <f t="shared" si="10"/>
        <v>34.464599999999997</v>
      </c>
      <c r="Z28" s="169">
        <f t="shared" si="1"/>
        <v>0</v>
      </c>
      <c r="AA28" s="274">
        <f t="shared" si="2"/>
        <v>0</v>
      </c>
      <c r="AB28" s="169">
        <f t="shared" si="11"/>
        <v>0</v>
      </c>
      <c r="AC28" s="274">
        <f t="shared" si="3"/>
        <v>0</v>
      </c>
      <c r="AD28" s="169">
        <f t="shared" si="4"/>
        <v>0</v>
      </c>
      <c r="AE28" s="274">
        <f t="shared" si="5"/>
        <v>0</v>
      </c>
      <c r="AF28" s="169">
        <f t="shared" si="12"/>
        <v>0</v>
      </c>
      <c r="AG28" s="274">
        <f t="shared" si="6"/>
        <v>0</v>
      </c>
      <c r="AH28" s="169">
        <f t="shared" si="13"/>
        <v>0</v>
      </c>
      <c r="AI28" s="169"/>
      <c r="AJ28" s="169">
        <f t="shared" si="14"/>
        <v>0</v>
      </c>
      <c r="AK28" s="169">
        <f t="shared" si="15"/>
        <v>0</v>
      </c>
      <c r="AL28" s="169"/>
      <c r="AM28" s="169">
        <f>AK27*W27+AK28*W28</f>
        <v>0</v>
      </c>
      <c r="AN28" s="169">
        <f>(SUM(AD27:AG27)*W27+SUM(AD28:AG28)*W28)*12*VLOOKUP(C28,JNovergang,3,1)</f>
        <v>0</v>
      </c>
      <c r="AO28" s="169">
        <f>AM28-AN28</f>
        <v>0</v>
      </c>
      <c r="AP28" s="169">
        <f>M28*(100+X28)%</f>
        <v>0</v>
      </c>
      <c r="AQ28" s="274">
        <f>ROUND(M28*F28,2)</f>
        <v>0</v>
      </c>
      <c r="AS28" s="274">
        <f>ROUND((AP28+AQ28)+AM28*(N28/12),0)</f>
        <v>0</v>
      </c>
      <c r="AT28" s="274">
        <f>ROUND(AM28*(O28/12),0)</f>
        <v>0</v>
      </c>
      <c r="AU28" s="274">
        <f>ROUND(AM28*(P28/12)*U28,0)</f>
        <v>0</v>
      </c>
      <c r="AW28" s="144">
        <f t="shared" si="16"/>
        <v>0</v>
      </c>
    </row>
    <row r="29" spans="1:49" x14ac:dyDescent="0.15">
      <c r="A29" s="173"/>
      <c r="B29" s="174"/>
      <c r="C29" s="174"/>
      <c r="D29" s="165" t="str">
        <f t="shared" si="0"/>
        <v xml:space="preserve"> </v>
      </c>
      <c r="E29" s="177"/>
      <c r="F29" s="287">
        <v>0</v>
      </c>
      <c r="G29" s="177">
        <v>37</v>
      </c>
      <c r="H29" s="177">
        <v>37</v>
      </c>
      <c r="I29" s="177"/>
      <c r="J29" s="179"/>
      <c r="K29" s="177"/>
      <c r="L29" s="179"/>
      <c r="M29" s="166"/>
      <c r="N29" s="166"/>
      <c r="O29" s="166"/>
      <c r="P29" s="166"/>
      <c r="Q29" s="167"/>
      <c r="R29" s="167"/>
      <c r="S29" s="168"/>
      <c r="V29" s="144">
        <f t="shared" si="7"/>
        <v>0</v>
      </c>
      <c r="W29" s="144">
        <f t="shared" si="8"/>
        <v>0</v>
      </c>
      <c r="X29" s="144">
        <f t="shared" si="9"/>
        <v>0</v>
      </c>
      <c r="Y29" s="144">
        <f t="shared" si="10"/>
        <v>34.464599999999997</v>
      </c>
      <c r="Z29" s="169">
        <f t="shared" si="1"/>
        <v>0</v>
      </c>
      <c r="AA29" s="274">
        <f t="shared" si="2"/>
        <v>0</v>
      </c>
      <c r="AB29" s="169">
        <f t="shared" si="11"/>
        <v>0</v>
      </c>
      <c r="AC29" s="274">
        <f t="shared" si="3"/>
        <v>0</v>
      </c>
      <c r="AD29" s="169">
        <f t="shared" si="4"/>
        <v>0</v>
      </c>
      <c r="AE29" s="274">
        <f t="shared" si="5"/>
        <v>0</v>
      </c>
      <c r="AF29" s="169">
        <f t="shared" si="12"/>
        <v>0</v>
      </c>
      <c r="AG29" s="274">
        <f t="shared" si="6"/>
        <v>0</v>
      </c>
      <c r="AH29" s="169">
        <f t="shared" si="13"/>
        <v>0</v>
      </c>
      <c r="AI29" s="169"/>
      <c r="AJ29" s="169">
        <f t="shared" si="14"/>
        <v>0</v>
      </c>
      <c r="AK29" s="169">
        <f t="shared" si="15"/>
        <v>0</v>
      </c>
      <c r="AL29" s="169"/>
      <c r="AM29" s="169"/>
      <c r="AN29" s="169"/>
      <c r="AQ29" s="169"/>
      <c r="AW29" s="144">
        <f t="shared" si="16"/>
        <v>0</v>
      </c>
    </row>
    <row r="30" spans="1:49" ht="9.75" thickBot="1" x14ac:dyDescent="0.2">
      <c r="A30" s="175"/>
      <c r="B30" s="176"/>
      <c r="C30" s="176"/>
      <c r="D30" s="170" t="str">
        <f t="shared" si="0"/>
        <v xml:space="preserve"> </v>
      </c>
      <c r="E30" s="178"/>
      <c r="F30" s="288">
        <v>0</v>
      </c>
      <c r="G30" s="178">
        <v>37</v>
      </c>
      <c r="H30" s="178">
        <v>37</v>
      </c>
      <c r="I30" s="178"/>
      <c r="J30" s="180"/>
      <c r="K30" s="178"/>
      <c r="L30" s="180"/>
      <c r="M30" s="180"/>
      <c r="N30" s="178"/>
      <c r="O30" s="178"/>
      <c r="P30" s="178"/>
      <c r="Q30" s="171">
        <f>AS30</f>
        <v>0</v>
      </c>
      <c r="R30" s="171">
        <f>AT30</f>
        <v>0</v>
      </c>
      <c r="S30" s="172">
        <f>AU30</f>
        <v>0</v>
      </c>
      <c r="U30" s="144">
        <f>IF(OR(C29=5,C30=5),0,1)</f>
        <v>1</v>
      </c>
      <c r="V30" s="144">
        <f t="shared" si="7"/>
        <v>0</v>
      </c>
      <c r="W30" s="144">
        <f t="shared" si="8"/>
        <v>0</v>
      </c>
      <c r="X30" s="144">
        <f t="shared" si="9"/>
        <v>0</v>
      </c>
      <c r="Y30" s="144">
        <f t="shared" si="10"/>
        <v>34.464599999999997</v>
      </c>
      <c r="Z30" s="169">
        <f t="shared" si="1"/>
        <v>0</v>
      </c>
      <c r="AA30" s="274">
        <f t="shared" si="2"/>
        <v>0</v>
      </c>
      <c r="AB30" s="169">
        <f t="shared" si="11"/>
        <v>0</v>
      </c>
      <c r="AC30" s="274">
        <f t="shared" si="3"/>
        <v>0</v>
      </c>
      <c r="AD30" s="169">
        <f t="shared" si="4"/>
        <v>0</v>
      </c>
      <c r="AE30" s="274">
        <f t="shared" si="5"/>
        <v>0</v>
      </c>
      <c r="AF30" s="169">
        <f t="shared" si="12"/>
        <v>0</v>
      </c>
      <c r="AG30" s="274">
        <f t="shared" si="6"/>
        <v>0</v>
      </c>
      <c r="AH30" s="169">
        <f t="shared" si="13"/>
        <v>0</v>
      </c>
      <c r="AI30" s="169"/>
      <c r="AJ30" s="169">
        <f t="shared" si="14"/>
        <v>0</v>
      </c>
      <c r="AK30" s="169">
        <f t="shared" si="15"/>
        <v>0</v>
      </c>
      <c r="AL30" s="169"/>
      <c r="AM30" s="169">
        <f>AK29*W29+AK30*W30</f>
        <v>0</v>
      </c>
      <c r="AN30" s="169">
        <f>(SUM(AD29:AG29)*W29+SUM(AD30:AG30)*W30)*12*VLOOKUP(C30,JNovergang,3,1)</f>
        <v>0</v>
      </c>
      <c r="AO30" s="169">
        <f>AM30-AN30</f>
        <v>0</v>
      </c>
      <c r="AP30" s="169">
        <f>M30*(100+X30)%</f>
        <v>0</v>
      </c>
      <c r="AQ30" s="274">
        <f>ROUND(M30*F30,2)</f>
        <v>0</v>
      </c>
      <c r="AS30" s="274">
        <f>ROUND((AP30+AQ30)+AM30*(N30/12),0)</f>
        <v>0</v>
      </c>
      <c r="AT30" s="274">
        <f>ROUND(AM30*(O30/12),0)</f>
        <v>0</v>
      </c>
      <c r="AU30" s="274">
        <f>ROUND(AM30*(P30/12)*U30,0)</f>
        <v>0</v>
      </c>
      <c r="AW30" s="144">
        <f t="shared" si="16"/>
        <v>0</v>
      </c>
    </row>
    <row r="31" spans="1:49" x14ac:dyDescent="0.15">
      <c r="A31" s="173"/>
      <c r="B31" s="174"/>
      <c r="C31" s="174"/>
      <c r="D31" s="165" t="str">
        <f t="shared" si="0"/>
        <v xml:space="preserve"> </v>
      </c>
      <c r="E31" s="177"/>
      <c r="F31" s="287">
        <v>0</v>
      </c>
      <c r="G31" s="177">
        <v>37</v>
      </c>
      <c r="H31" s="177">
        <v>37</v>
      </c>
      <c r="I31" s="177"/>
      <c r="J31" s="179"/>
      <c r="K31" s="177"/>
      <c r="L31" s="179"/>
      <c r="M31" s="166"/>
      <c r="N31" s="166"/>
      <c r="O31" s="166"/>
      <c r="P31" s="166"/>
      <c r="Q31" s="167"/>
      <c r="R31" s="167"/>
      <c r="S31" s="168"/>
      <c r="V31" s="144">
        <f t="shared" si="7"/>
        <v>0</v>
      </c>
      <c r="W31" s="144">
        <f t="shared" si="8"/>
        <v>0</v>
      </c>
      <c r="X31" s="144">
        <f t="shared" si="9"/>
        <v>0</v>
      </c>
      <c r="Y31" s="144">
        <f t="shared" si="10"/>
        <v>34.464599999999997</v>
      </c>
      <c r="Z31" s="169">
        <f t="shared" si="1"/>
        <v>0</v>
      </c>
      <c r="AA31" s="274">
        <f t="shared" si="2"/>
        <v>0</v>
      </c>
      <c r="AB31" s="169">
        <f t="shared" si="11"/>
        <v>0</v>
      </c>
      <c r="AC31" s="274">
        <f t="shared" si="3"/>
        <v>0</v>
      </c>
      <c r="AD31" s="169">
        <f t="shared" si="4"/>
        <v>0</v>
      </c>
      <c r="AE31" s="274">
        <f t="shared" si="5"/>
        <v>0</v>
      </c>
      <c r="AF31" s="169">
        <f t="shared" si="12"/>
        <v>0</v>
      </c>
      <c r="AG31" s="274">
        <f t="shared" si="6"/>
        <v>0</v>
      </c>
      <c r="AH31" s="169">
        <f t="shared" si="13"/>
        <v>0</v>
      </c>
      <c r="AI31" s="169"/>
      <c r="AJ31" s="169">
        <f t="shared" si="14"/>
        <v>0</v>
      </c>
      <c r="AK31" s="169">
        <f t="shared" si="15"/>
        <v>0</v>
      </c>
      <c r="AL31" s="169"/>
      <c r="AM31" s="169"/>
      <c r="AN31" s="169"/>
      <c r="AQ31" s="169"/>
      <c r="AW31" s="144">
        <f t="shared" si="16"/>
        <v>0</v>
      </c>
    </row>
    <row r="32" spans="1:49" ht="9.75" thickBot="1" x14ac:dyDescent="0.2">
      <c r="A32" s="175"/>
      <c r="B32" s="176"/>
      <c r="C32" s="176"/>
      <c r="D32" s="170" t="str">
        <f t="shared" si="0"/>
        <v xml:space="preserve"> </v>
      </c>
      <c r="E32" s="178"/>
      <c r="F32" s="288">
        <v>0</v>
      </c>
      <c r="G32" s="178">
        <v>37</v>
      </c>
      <c r="H32" s="178">
        <v>37</v>
      </c>
      <c r="I32" s="178"/>
      <c r="J32" s="180"/>
      <c r="K32" s="178"/>
      <c r="L32" s="180"/>
      <c r="M32" s="180"/>
      <c r="N32" s="178"/>
      <c r="O32" s="178"/>
      <c r="P32" s="178"/>
      <c r="Q32" s="171">
        <f>AS32</f>
        <v>0</v>
      </c>
      <c r="R32" s="171">
        <f>AT32</f>
        <v>0</v>
      </c>
      <c r="S32" s="172">
        <f>AU32</f>
        <v>0</v>
      </c>
      <c r="U32" s="144">
        <f>IF(OR(C31=5,C32=5),0,1)</f>
        <v>1</v>
      </c>
      <c r="V32" s="144">
        <f t="shared" si="7"/>
        <v>0</v>
      </c>
      <c r="W32" s="144">
        <f t="shared" si="8"/>
        <v>0</v>
      </c>
      <c r="X32" s="144">
        <f t="shared" si="9"/>
        <v>0</v>
      </c>
      <c r="Y32" s="144">
        <f t="shared" si="10"/>
        <v>34.464599999999997</v>
      </c>
      <c r="Z32" s="169">
        <f t="shared" si="1"/>
        <v>0</v>
      </c>
      <c r="AA32" s="274">
        <f t="shared" si="2"/>
        <v>0</v>
      </c>
      <c r="AB32" s="169">
        <f t="shared" si="11"/>
        <v>0</v>
      </c>
      <c r="AC32" s="274">
        <f t="shared" si="3"/>
        <v>0</v>
      </c>
      <c r="AD32" s="169">
        <f t="shared" si="4"/>
        <v>0</v>
      </c>
      <c r="AE32" s="274">
        <f t="shared" si="5"/>
        <v>0</v>
      </c>
      <c r="AF32" s="169">
        <f t="shared" si="12"/>
        <v>0</v>
      </c>
      <c r="AG32" s="274">
        <f t="shared" si="6"/>
        <v>0</v>
      </c>
      <c r="AH32" s="169">
        <f t="shared" si="13"/>
        <v>0</v>
      </c>
      <c r="AI32" s="169"/>
      <c r="AJ32" s="169">
        <f t="shared" si="14"/>
        <v>0</v>
      </c>
      <c r="AK32" s="169">
        <f t="shared" si="15"/>
        <v>0</v>
      </c>
      <c r="AL32" s="169"/>
      <c r="AM32" s="169">
        <f>AK31*W31+AK32*W32</f>
        <v>0</v>
      </c>
      <c r="AN32" s="169">
        <f>(SUM(AD31:AG31)*W31+SUM(AD32:AG32)*W32)*12*VLOOKUP(C32,JNovergang,3,1)</f>
        <v>0</v>
      </c>
      <c r="AO32" s="169">
        <f>AM32-AN32</f>
        <v>0</v>
      </c>
      <c r="AP32" s="169">
        <f>M32*(100+X32)%</f>
        <v>0</v>
      </c>
      <c r="AQ32" s="274">
        <f>ROUND(M32*F32,2)</f>
        <v>0</v>
      </c>
      <c r="AS32" s="274">
        <f>ROUND((AP32+AQ32)+AM32*(N32/12),0)</f>
        <v>0</v>
      </c>
      <c r="AT32" s="274">
        <f>ROUND(AM32*(O32/12),0)</f>
        <v>0</v>
      </c>
      <c r="AU32" s="274">
        <f>ROUND(AM32*(P32/12)*U32,0)</f>
        <v>0</v>
      </c>
      <c r="AW32" s="144">
        <f t="shared" si="16"/>
        <v>0</v>
      </c>
    </row>
    <row r="33" spans="1:49" x14ac:dyDescent="0.15">
      <c r="A33" s="173"/>
      <c r="B33" s="174"/>
      <c r="C33" s="174"/>
      <c r="D33" s="165" t="str">
        <f t="shared" si="0"/>
        <v xml:space="preserve"> </v>
      </c>
      <c r="E33" s="177"/>
      <c r="F33" s="287">
        <v>0</v>
      </c>
      <c r="G33" s="177">
        <v>37</v>
      </c>
      <c r="H33" s="177">
        <v>37</v>
      </c>
      <c r="I33" s="177"/>
      <c r="J33" s="179"/>
      <c r="K33" s="177"/>
      <c r="L33" s="179"/>
      <c r="M33" s="166"/>
      <c r="N33" s="166"/>
      <c r="O33" s="166"/>
      <c r="P33" s="166"/>
      <c r="Q33" s="167"/>
      <c r="R33" s="167"/>
      <c r="S33" s="168"/>
      <c r="V33" s="144">
        <f t="shared" si="7"/>
        <v>0</v>
      </c>
      <c r="W33" s="144">
        <f t="shared" si="8"/>
        <v>0</v>
      </c>
      <c r="X33" s="144">
        <f t="shared" si="9"/>
        <v>0</v>
      </c>
      <c r="Y33" s="144">
        <f t="shared" si="10"/>
        <v>34.464599999999997</v>
      </c>
      <c r="Z33" s="169">
        <f t="shared" si="1"/>
        <v>0</v>
      </c>
      <c r="AA33" s="274">
        <f t="shared" si="2"/>
        <v>0</v>
      </c>
      <c r="AB33" s="169">
        <f t="shared" si="11"/>
        <v>0</v>
      </c>
      <c r="AC33" s="274">
        <f t="shared" si="3"/>
        <v>0</v>
      </c>
      <c r="AD33" s="169">
        <f t="shared" si="4"/>
        <v>0</v>
      </c>
      <c r="AE33" s="274">
        <f t="shared" si="5"/>
        <v>0</v>
      </c>
      <c r="AF33" s="169">
        <f t="shared" si="12"/>
        <v>0</v>
      </c>
      <c r="AG33" s="274">
        <f t="shared" si="6"/>
        <v>0</v>
      </c>
      <c r="AH33" s="169">
        <f t="shared" si="13"/>
        <v>0</v>
      </c>
      <c r="AI33" s="169"/>
      <c r="AJ33" s="169">
        <f t="shared" si="14"/>
        <v>0</v>
      </c>
      <c r="AK33" s="169">
        <f t="shared" si="15"/>
        <v>0</v>
      </c>
      <c r="AL33" s="169"/>
      <c r="AM33" s="169"/>
      <c r="AN33" s="169"/>
      <c r="AQ33" s="169"/>
      <c r="AW33" s="144">
        <f t="shared" si="16"/>
        <v>0</v>
      </c>
    </row>
    <row r="34" spans="1:49" ht="9.75" thickBot="1" x14ac:dyDescent="0.2">
      <c r="A34" s="175"/>
      <c r="B34" s="176"/>
      <c r="C34" s="176"/>
      <c r="D34" s="170" t="str">
        <f t="shared" si="0"/>
        <v xml:space="preserve"> </v>
      </c>
      <c r="E34" s="178"/>
      <c r="F34" s="288">
        <v>0</v>
      </c>
      <c r="G34" s="178">
        <v>37</v>
      </c>
      <c r="H34" s="178">
        <v>37</v>
      </c>
      <c r="I34" s="178"/>
      <c r="J34" s="180"/>
      <c r="K34" s="178"/>
      <c r="L34" s="180"/>
      <c r="M34" s="180"/>
      <c r="N34" s="178"/>
      <c r="O34" s="178"/>
      <c r="P34" s="178"/>
      <c r="Q34" s="171">
        <f>AS34</f>
        <v>0</v>
      </c>
      <c r="R34" s="171">
        <f>AT34</f>
        <v>0</v>
      </c>
      <c r="S34" s="172">
        <f>AU34</f>
        <v>0</v>
      </c>
      <c r="U34" s="144">
        <f>IF(OR(C33=5,C34=5),0,1)</f>
        <v>1</v>
      </c>
      <c r="V34" s="144">
        <f t="shared" si="7"/>
        <v>0</v>
      </c>
      <c r="W34" s="144">
        <f t="shared" si="8"/>
        <v>0</v>
      </c>
      <c r="X34" s="144">
        <f t="shared" si="9"/>
        <v>0</v>
      </c>
      <c r="Y34" s="144">
        <f t="shared" si="10"/>
        <v>34.464599999999997</v>
      </c>
      <c r="Z34" s="169">
        <f t="shared" si="1"/>
        <v>0</v>
      </c>
      <c r="AA34" s="274">
        <f t="shared" si="2"/>
        <v>0</v>
      </c>
      <c r="AB34" s="169">
        <f t="shared" si="11"/>
        <v>0</v>
      </c>
      <c r="AC34" s="274">
        <f t="shared" si="3"/>
        <v>0</v>
      </c>
      <c r="AD34" s="169">
        <f t="shared" si="4"/>
        <v>0</v>
      </c>
      <c r="AE34" s="274">
        <f t="shared" si="5"/>
        <v>0</v>
      </c>
      <c r="AF34" s="169">
        <f t="shared" si="12"/>
        <v>0</v>
      </c>
      <c r="AG34" s="274">
        <f t="shared" si="6"/>
        <v>0</v>
      </c>
      <c r="AH34" s="169">
        <f t="shared" si="13"/>
        <v>0</v>
      </c>
      <c r="AI34" s="169"/>
      <c r="AJ34" s="169">
        <f t="shared" si="14"/>
        <v>0</v>
      </c>
      <c r="AK34" s="169">
        <f t="shared" si="15"/>
        <v>0</v>
      </c>
      <c r="AL34" s="169"/>
      <c r="AM34" s="169">
        <f>AK33*W33+AK34*W34</f>
        <v>0</v>
      </c>
      <c r="AN34" s="169">
        <f>(SUM(AD33:AG33)*W33+SUM(AD34:AG34)*W34)*12*VLOOKUP(C34,JNovergang,3,1)</f>
        <v>0</v>
      </c>
      <c r="AO34" s="169">
        <f>AM34-AN34</f>
        <v>0</v>
      </c>
      <c r="AP34" s="169">
        <f>M34*(100+X34)%</f>
        <v>0</v>
      </c>
      <c r="AQ34" s="274">
        <f>ROUND(M34*F34,2)</f>
        <v>0</v>
      </c>
      <c r="AS34" s="274">
        <f>ROUND((AP34+AQ34)+AM34*(N34/12),0)</f>
        <v>0</v>
      </c>
      <c r="AT34" s="274">
        <f>ROUND(AM34*(O34/12),0)</f>
        <v>0</v>
      </c>
      <c r="AU34" s="274">
        <f>ROUND(AM34*(P34/12)*U34,0)</f>
        <v>0</v>
      </c>
      <c r="AW34" s="144">
        <f t="shared" si="16"/>
        <v>0</v>
      </c>
    </row>
    <row r="35" spans="1:49" x14ac:dyDescent="0.15">
      <c r="A35" s="173"/>
      <c r="B35" s="174"/>
      <c r="C35" s="174"/>
      <c r="D35" s="165" t="str">
        <f t="shared" si="0"/>
        <v xml:space="preserve"> </v>
      </c>
      <c r="E35" s="177"/>
      <c r="F35" s="287">
        <v>0</v>
      </c>
      <c r="G35" s="177">
        <v>37</v>
      </c>
      <c r="H35" s="177">
        <v>37</v>
      </c>
      <c r="I35" s="177"/>
      <c r="J35" s="179"/>
      <c r="K35" s="177"/>
      <c r="L35" s="179"/>
      <c r="M35" s="166"/>
      <c r="N35" s="166"/>
      <c r="O35" s="166"/>
      <c r="P35" s="166"/>
      <c r="Q35" s="167"/>
      <c r="R35" s="167"/>
      <c r="S35" s="168"/>
      <c r="V35" s="144">
        <f t="shared" si="7"/>
        <v>0</v>
      </c>
      <c r="W35" s="144">
        <f t="shared" si="8"/>
        <v>0</v>
      </c>
      <c r="X35" s="144">
        <f t="shared" si="9"/>
        <v>0</v>
      </c>
      <c r="Y35" s="144">
        <f t="shared" si="10"/>
        <v>34.464599999999997</v>
      </c>
      <c r="Z35" s="169">
        <f t="shared" si="1"/>
        <v>0</v>
      </c>
      <c r="AA35" s="274">
        <f t="shared" si="2"/>
        <v>0</v>
      </c>
      <c r="AB35" s="169">
        <f t="shared" si="11"/>
        <v>0</v>
      </c>
      <c r="AC35" s="274">
        <f t="shared" si="3"/>
        <v>0</v>
      </c>
      <c r="AD35" s="169">
        <f t="shared" si="4"/>
        <v>0</v>
      </c>
      <c r="AE35" s="274">
        <f t="shared" si="5"/>
        <v>0</v>
      </c>
      <c r="AF35" s="169">
        <f t="shared" si="12"/>
        <v>0</v>
      </c>
      <c r="AG35" s="274">
        <f t="shared" si="6"/>
        <v>0</v>
      </c>
      <c r="AH35" s="169">
        <f t="shared" si="13"/>
        <v>0</v>
      </c>
      <c r="AI35" s="169"/>
      <c r="AJ35" s="169">
        <f t="shared" si="14"/>
        <v>0</v>
      </c>
      <c r="AK35" s="169">
        <f t="shared" si="15"/>
        <v>0</v>
      </c>
      <c r="AL35" s="169"/>
      <c r="AM35" s="169"/>
      <c r="AN35" s="169"/>
      <c r="AQ35" s="169"/>
      <c r="AW35" s="144">
        <f t="shared" si="16"/>
        <v>0</v>
      </c>
    </row>
    <row r="36" spans="1:49" ht="9.75" thickBot="1" x14ac:dyDescent="0.2">
      <c r="A36" s="175"/>
      <c r="B36" s="176"/>
      <c r="C36" s="176"/>
      <c r="D36" s="170" t="str">
        <f t="shared" si="0"/>
        <v xml:space="preserve"> </v>
      </c>
      <c r="E36" s="178"/>
      <c r="F36" s="288">
        <v>0</v>
      </c>
      <c r="G36" s="178">
        <v>37</v>
      </c>
      <c r="H36" s="178">
        <v>37</v>
      </c>
      <c r="I36" s="178"/>
      <c r="J36" s="180"/>
      <c r="K36" s="178"/>
      <c r="L36" s="180"/>
      <c r="M36" s="180"/>
      <c r="N36" s="178"/>
      <c r="O36" s="178"/>
      <c r="P36" s="178"/>
      <c r="Q36" s="171">
        <f>AS36</f>
        <v>0</v>
      </c>
      <c r="R36" s="171">
        <f>AT36</f>
        <v>0</v>
      </c>
      <c r="S36" s="172">
        <f>AU36</f>
        <v>0</v>
      </c>
      <c r="U36" s="144">
        <f>IF(OR(C35=5,C36=5),0,1)</f>
        <v>1</v>
      </c>
      <c r="V36" s="144">
        <f t="shared" si="7"/>
        <v>0</v>
      </c>
      <c r="W36" s="144">
        <f t="shared" si="8"/>
        <v>0</v>
      </c>
      <c r="X36" s="144">
        <f t="shared" si="9"/>
        <v>0</v>
      </c>
      <c r="Y36" s="144">
        <f t="shared" si="10"/>
        <v>34.464599999999997</v>
      </c>
      <c r="Z36" s="169">
        <f t="shared" si="1"/>
        <v>0</v>
      </c>
      <c r="AA36" s="274">
        <f t="shared" si="2"/>
        <v>0</v>
      </c>
      <c r="AB36" s="169">
        <f t="shared" si="11"/>
        <v>0</v>
      </c>
      <c r="AC36" s="274">
        <f t="shared" si="3"/>
        <v>0</v>
      </c>
      <c r="AD36" s="169">
        <f t="shared" si="4"/>
        <v>0</v>
      </c>
      <c r="AE36" s="274">
        <f t="shared" si="5"/>
        <v>0</v>
      </c>
      <c r="AF36" s="169">
        <f t="shared" si="12"/>
        <v>0</v>
      </c>
      <c r="AG36" s="274">
        <f t="shared" si="6"/>
        <v>0</v>
      </c>
      <c r="AH36" s="169">
        <f t="shared" si="13"/>
        <v>0</v>
      </c>
      <c r="AI36" s="169"/>
      <c r="AJ36" s="169">
        <f t="shared" si="14"/>
        <v>0</v>
      </c>
      <c r="AK36" s="169">
        <f t="shared" si="15"/>
        <v>0</v>
      </c>
      <c r="AL36" s="169"/>
      <c r="AM36" s="169">
        <f>AK35*W35+AK36*W36</f>
        <v>0</v>
      </c>
      <c r="AN36" s="169">
        <f>(SUM(AD35:AG35)*W35+SUM(AD36:AG36)*W36)*12*VLOOKUP(C36,JNovergang,3,1)</f>
        <v>0</v>
      </c>
      <c r="AO36" s="169">
        <f>AM36-AN36</f>
        <v>0</v>
      </c>
      <c r="AP36" s="169">
        <f>M36*(100+X36)%</f>
        <v>0</v>
      </c>
      <c r="AQ36" s="274">
        <f>ROUND(M36*F36,2)</f>
        <v>0</v>
      </c>
      <c r="AS36" s="274">
        <f>ROUND((AP36+AQ36)+AM36*(N36/12),0)</f>
        <v>0</v>
      </c>
      <c r="AT36" s="274">
        <f>ROUND(AM36*(O36/12),0)</f>
        <v>0</v>
      </c>
      <c r="AU36" s="274">
        <f>ROUND(AM36*(P36/12)*U36,0)</f>
        <v>0</v>
      </c>
      <c r="AW36" s="144">
        <f t="shared" si="16"/>
        <v>0</v>
      </c>
    </row>
    <row r="37" spans="1:49" x14ac:dyDescent="0.15">
      <c r="A37" s="173"/>
      <c r="B37" s="174"/>
      <c r="C37" s="174"/>
      <c r="D37" s="165" t="str">
        <f t="shared" si="0"/>
        <v xml:space="preserve"> </v>
      </c>
      <c r="E37" s="177"/>
      <c r="F37" s="287">
        <v>0</v>
      </c>
      <c r="G37" s="177">
        <v>37</v>
      </c>
      <c r="H37" s="177">
        <v>37</v>
      </c>
      <c r="I37" s="177"/>
      <c r="J37" s="179"/>
      <c r="K37" s="177"/>
      <c r="L37" s="179"/>
      <c r="M37" s="166"/>
      <c r="N37" s="166"/>
      <c r="O37" s="166"/>
      <c r="P37" s="166"/>
      <c r="Q37" s="167"/>
      <c r="R37" s="167"/>
      <c r="S37" s="168"/>
      <c r="V37" s="144">
        <f t="shared" si="7"/>
        <v>0</v>
      </c>
      <c r="W37" s="144">
        <f t="shared" si="8"/>
        <v>0</v>
      </c>
      <c r="X37" s="144">
        <f t="shared" si="9"/>
        <v>0</v>
      </c>
      <c r="Y37" s="144">
        <f t="shared" si="10"/>
        <v>34.464599999999997</v>
      </c>
      <c r="Z37" s="169">
        <f t="shared" si="1"/>
        <v>0</v>
      </c>
      <c r="AA37" s="274">
        <f t="shared" si="2"/>
        <v>0</v>
      </c>
      <c r="AB37" s="169">
        <f t="shared" si="11"/>
        <v>0</v>
      </c>
      <c r="AC37" s="274">
        <f t="shared" si="3"/>
        <v>0</v>
      </c>
      <c r="AD37" s="169">
        <f t="shared" si="4"/>
        <v>0</v>
      </c>
      <c r="AE37" s="274">
        <f t="shared" si="5"/>
        <v>0</v>
      </c>
      <c r="AF37" s="169">
        <f t="shared" si="12"/>
        <v>0</v>
      </c>
      <c r="AG37" s="274">
        <f t="shared" si="6"/>
        <v>0</v>
      </c>
      <c r="AH37" s="169">
        <f t="shared" si="13"/>
        <v>0</v>
      </c>
      <c r="AI37" s="169"/>
      <c r="AJ37" s="169">
        <f t="shared" si="14"/>
        <v>0</v>
      </c>
      <c r="AK37" s="169">
        <f t="shared" si="15"/>
        <v>0</v>
      </c>
      <c r="AL37" s="169"/>
      <c r="AM37" s="169"/>
      <c r="AN37" s="169"/>
      <c r="AQ37" s="169"/>
      <c r="AW37" s="144">
        <f t="shared" si="16"/>
        <v>0</v>
      </c>
    </row>
    <row r="38" spans="1:49" ht="9.75" thickBot="1" x14ac:dyDescent="0.2">
      <c r="A38" s="175"/>
      <c r="B38" s="176"/>
      <c r="C38" s="176"/>
      <c r="D38" s="170" t="str">
        <f t="shared" si="0"/>
        <v xml:space="preserve"> </v>
      </c>
      <c r="E38" s="178"/>
      <c r="F38" s="288">
        <v>0</v>
      </c>
      <c r="G38" s="178">
        <v>37</v>
      </c>
      <c r="H38" s="178">
        <v>37</v>
      </c>
      <c r="I38" s="178"/>
      <c r="J38" s="180"/>
      <c r="K38" s="178"/>
      <c r="L38" s="180"/>
      <c r="M38" s="180"/>
      <c r="N38" s="178"/>
      <c r="O38" s="178"/>
      <c r="P38" s="178"/>
      <c r="Q38" s="171">
        <f>AS38</f>
        <v>0</v>
      </c>
      <c r="R38" s="171">
        <f>AT38</f>
        <v>0</v>
      </c>
      <c r="S38" s="172">
        <f>AU38</f>
        <v>0</v>
      </c>
      <c r="U38" s="144">
        <f>IF(OR(C37=5,C38=5),0,1)</f>
        <v>1</v>
      </c>
      <c r="V38" s="144">
        <f t="shared" si="7"/>
        <v>0</v>
      </c>
      <c r="W38" s="144">
        <f t="shared" si="8"/>
        <v>0</v>
      </c>
      <c r="X38" s="144">
        <f t="shared" si="9"/>
        <v>0</v>
      </c>
      <c r="Y38" s="144">
        <f t="shared" si="10"/>
        <v>34.464599999999997</v>
      </c>
      <c r="Z38" s="169">
        <f t="shared" si="1"/>
        <v>0</v>
      </c>
      <c r="AA38" s="274">
        <f t="shared" si="2"/>
        <v>0</v>
      </c>
      <c r="AB38" s="169">
        <f t="shared" si="11"/>
        <v>0</v>
      </c>
      <c r="AC38" s="274">
        <f t="shared" si="3"/>
        <v>0</v>
      </c>
      <c r="AD38" s="169">
        <f t="shared" si="4"/>
        <v>0</v>
      </c>
      <c r="AE38" s="274">
        <f t="shared" si="5"/>
        <v>0</v>
      </c>
      <c r="AF38" s="169">
        <f t="shared" si="12"/>
        <v>0</v>
      </c>
      <c r="AG38" s="274">
        <f t="shared" si="6"/>
        <v>0</v>
      </c>
      <c r="AH38" s="169">
        <f t="shared" si="13"/>
        <v>0</v>
      </c>
      <c r="AI38" s="169"/>
      <c r="AJ38" s="169">
        <f t="shared" si="14"/>
        <v>0</v>
      </c>
      <c r="AK38" s="169">
        <f t="shared" si="15"/>
        <v>0</v>
      </c>
      <c r="AL38" s="169"/>
      <c r="AM38" s="169">
        <f>AK37*W37+AK38*W38</f>
        <v>0</v>
      </c>
      <c r="AN38" s="169">
        <f>(SUM(AD37:AG37)*W37+SUM(AD38:AG38)*W38)*12*VLOOKUP(C38,JNovergang,3,1)</f>
        <v>0</v>
      </c>
      <c r="AO38" s="169">
        <f>AM38-AN38</f>
        <v>0</v>
      </c>
      <c r="AP38" s="169">
        <f>M38*(100+X38)%</f>
        <v>0</v>
      </c>
      <c r="AQ38" s="274">
        <f>ROUND(M38*F38,2)</f>
        <v>0</v>
      </c>
      <c r="AS38" s="274">
        <f>ROUND((AP38+AQ38)+AM38*(N38/12),0)</f>
        <v>0</v>
      </c>
      <c r="AT38" s="274">
        <f>ROUND(AM38*(O38/12),0)</f>
        <v>0</v>
      </c>
      <c r="AU38" s="274">
        <f>ROUND(AM38*(P38/12)*U38,0)</f>
        <v>0</v>
      </c>
      <c r="AW38" s="144">
        <f t="shared" si="16"/>
        <v>0</v>
      </c>
    </row>
    <row r="39" spans="1:49" x14ac:dyDescent="0.15">
      <c r="A39" s="173"/>
      <c r="B39" s="174"/>
      <c r="C39" s="174"/>
      <c r="D39" s="165" t="str">
        <f t="shared" si="0"/>
        <v xml:space="preserve"> </v>
      </c>
      <c r="E39" s="177"/>
      <c r="F39" s="287">
        <v>0</v>
      </c>
      <c r="G39" s="177">
        <v>37</v>
      </c>
      <c r="H39" s="177">
        <v>37</v>
      </c>
      <c r="I39" s="177"/>
      <c r="J39" s="179"/>
      <c r="K39" s="177"/>
      <c r="L39" s="179"/>
      <c r="M39" s="166"/>
      <c r="N39" s="166"/>
      <c r="O39" s="166"/>
      <c r="P39" s="166"/>
      <c r="Q39" s="167"/>
      <c r="R39" s="167"/>
      <c r="S39" s="168"/>
      <c r="V39" s="144">
        <f t="shared" si="7"/>
        <v>0</v>
      </c>
      <c r="W39" s="144">
        <f t="shared" si="8"/>
        <v>0</v>
      </c>
      <c r="X39" s="144">
        <f t="shared" si="9"/>
        <v>0</v>
      </c>
      <c r="Y39" s="144">
        <f t="shared" si="10"/>
        <v>34.464599999999997</v>
      </c>
      <c r="Z39" s="169">
        <f t="shared" si="1"/>
        <v>0</v>
      </c>
      <c r="AA39" s="274">
        <f t="shared" si="2"/>
        <v>0</v>
      </c>
      <c r="AB39" s="169">
        <f t="shared" si="11"/>
        <v>0</v>
      </c>
      <c r="AC39" s="274">
        <f t="shared" si="3"/>
        <v>0</v>
      </c>
      <c r="AD39" s="169">
        <f t="shared" si="4"/>
        <v>0</v>
      </c>
      <c r="AE39" s="274">
        <f t="shared" si="5"/>
        <v>0</v>
      </c>
      <c r="AF39" s="169">
        <f t="shared" si="12"/>
        <v>0</v>
      </c>
      <c r="AG39" s="274">
        <f t="shared" si="6"/>
        <v>0</v>
      </c>
      <c r="AH39" s="169">
        <f t="shared" si="13"/>
        <v>0</v>
      </c>
      <c r="AI39" s="169"/>
      <c r="AJ39" s="169">
        <f t="shared" si="14"/>
        <v>0</v>
      </c>
      <c r="AK39" s="169">
        <f t="shared" si="15"/>
        <v>0</v>
      </c>
      <c r="AL39" s="169"/>
      <c r="AM39" s="169"/>
      <c r="AN39" s="169"/>
      <c r="AQ39" s="169"/>
      <c r="AW39" s="144">
        <f t="shared" si="16"/>
        <v>0</v>
      </c>
    </row>
    <row r="40" spans="1:49" ht="9.75" thickBot="1" x14ac:dyDescent="0.2">
      <c r="A40" s="175"/>
      <c r="B40" s="176"/>
      <c r="C40" s="176"/>
      <c r="D40" s="170" t="str">
        <f t="shared" si="0"/>
        <v xml:space="preserve"> </v>
      </c>
      <c r="E40" s="178"/>
      <c r="F40" s="288">
        <v>0</v>
      </c>
      <c r="G40" s="178">
        <v>37</v>
      </c>
      <c r="H40" s="178">
        <v>37</v>
      </c>
      <c r="I40" s="178"/>
      <c r="J40" s="180"/>
      <c r="K40" s="178"/>
      <c r="L40" s="180"/>
      <c r="M40" s="180"/>
      <c r="N40" s="178"/>
      <c r="O40" s="178"/>
      <c r="P40" s="178"/>
      <c r="Q40" s="171">
        <f>AS40</f>
        <v>0</v>
      </c>
      <c r="R40" s="171">
        <f>AT40</f>
        <v>0</v>
      </c>
      <c r="S40" s="172">
        <f>AU40</f>
        <v>0</v>
      </c>
      <c r="U40" s="144">
        <f>IF(OR(C39=5,C40=5),0,1)</f>
        <v>1</v>
      </c>
      <c r="V40" s="144">
        <f t="shared" si="7"/>
        <v>0</v>
      </c>
      <c r="W40" s="144">
        <f t="shared" si="8"/>
        <v>0</v>
      </c>
      <c r="X40" s="144">
        <f t="shared" si="9"/>
        <v>0</v>
      </c>
      <c r="Y40" s="144">
        <f t="shared" si="10"/>
        <v>34.464599999999997</v>
      </c>
      <c r="Z40" s="169">
        <f t="shared" si="1"/>
        <v>0</v>
      </c>
      <c r="AA40" s="274">
        <f t="shared" si="2"/>
        <v>0</v>
      </c>
      <c r="AB40" s="169">
        <f t="shared" si="11"/>
        <v>0</v>
      </c>
      <c r="AC40" s="274">
        <f t="shared" si="3"/>
        <v>0</v>
      </c>
      <c r="AD40" s="169">
        <f t="shared" si="4"/>
        <v>0</v>
      </c>
      <c r="AE40" s="274">
        <f t="shared" si="5"/>
        <v>0</v>
      </c>
      <c r="AF40" s="169">
        <f t="shared" si="12"/>
        <v>0</v>
      </c>
      <c r="AG40" s="274">
        <f t="shared" si="6"/>
        <v>0</v>
      </c>
      <c r="AH40" s="169">
        <f t="shared" si="13"/>
        <v>0</v>
      </c>
      <c r="AI40" s="169"/>
      <c r="AJ40" s="169">
        <f t="shared" si="14"/>
        <v>0</v>
      </c>
      <c r="AK40" s="169">
        <f t="shared" si="15"/>
        <v>0</v>
      </c>
      <c r="AL40" s="169"/>
      <c r="AM40" s="169">
        <f>AK39*W39+AK40*W40</f>
        <v>0</v>
      </c>
      <c r="AN40" s="169">
        <f>(SUM(AD39:AG39)*W39+SUM(AD40:AG40)*W40)*12*VLOOKUP(C40,JNovergang,3,1)</f>
        <v>0</v>
      </c>
      <c r="AO40" s="169">
        <f>AM40-AN40</f>
        <v>0</v>
      </c>
      <c r="AP40" s="169">
        <f>M40*(100+X40)%</f>
        <v>0</v>
      </c>
      <c r="AQ40" s="274">
        <f>ROUND(M40*F40,2)</f>
        <v>0</v>
      </c>
      <c r="AS40" s="274">
        <f>ROUND((AP40+AQ40)+AM40*(N40/12),0)</f>
        <v>0</v>
      </c>
      <c r="AT40" s="274">
        <f>ROUND(AM40*(O40/12),0)</f>
        <v>0</v>
      </c>
      <c r="AU40" s="274">
        <f>ROUND(AM40*(P40/12)*U40,0)</f>
        <v>0</v>
      </c>
      <c r="AW40" s="144">
        <f t="shared" si="16"/>
        <v>0</v>
      </c>
    </row>
    <row r="41" spans="1:49" x14ac:dyDescent="0.15">
      <c r="A41" s="173"/>
      <c r="B41" s="174"/>
      <c r="C41" s="174"/>
      <c r="D41" s="165" t="str">
        <f t="shared" si="0"/>
        <v xml:space="preserve"> </v>
      </c>
      <c r="E41" s="177"/>
      <c r="F41" s="287">
        <v>0</v>
      </c>
      <c r="G41" s="177">
        <v>37</v>
      </c>
      <c r="H41" s="177">
        <v>37</v>
      </c>
      <c r="I41" s="177"/>
      <c r="J41" s="179"/>
      <c r="K41" s="177"/>
      <c r="L41" s="179"/>
      <c r="M41" s="166"/>
      <c r="N41" s="166"/>
      <c r="O41" s="166"/>
      <c r="P41" s="166"/>
      <c r="Q41" s="167"/>
      <c r="R41" s="167"/>
      <c r="S41" s="168"/>
      <c r="V41" s="144">
        <f t="shared" si="7"/>
        <v>0</v>
      </c>
      <c r="W41" s="144">
        <f t="shared" si="8"/>
        <v>0</v>
      </c>
      <c r="X41" s="144">
        <f t="shared" ref="X41:X50" si="17">VLOOKUP(C41,JNferiepenge,3,1)</f>
        <v>0</v>
      </c>
      <c r="Y41" s="144">
        <f t="shared" si="10"/>
        <v>34.464599999999997</v>
      </c>
      <c r="Z41" s="169">
        <f t="shared" si="1"/>
        <v>0</v>
      </c>
      <c r="AA41" s="274">
        <f t="shared" si="2"/>
        <v>0</v>
      </c>
      <c r="AB41" s="169">
        <f t="shared" si="11"/>
        <v>0</v>
      </c>
      <c r="AC41" s="274">
        <f t="shared" si="3"/>
        <v>0</v>
      </c>
      <c r="AD41" s="169">
        <f t="shared" si="4"/>
        <v>0</v>
      </c>
      <c r="AE41" s="274">
        <f t="shared" si="5"/>
        <v>0</v>
      </c>
      <c r="AF41" s="169">
        <f t="shared" si="12"/>
        <v>0</v>
      </c>
      <c r="AG41" s="274">
        <f t="shared" si="6"/>
        <v>0</v>
      </c>
      <c r="AH41" s="169">
        <f t="shared" si="13"/>
        <v>0</v>
      </c>
      <c r="AI41" s="169"/>
      <c r="AJ41" s="169">
        <f t="shared" si="14"/>
        <v>0</v>
      </c>
      <c r="AK41" s="169">
        <f t="shared" si="15"/>
        <v>0</v>
      </c>
      <c r="AL41" s="169"/>
      <c r="AM41" s="169"/>
      <c r="AN41" s="169"/>
      <c r="AQ41" s="169"/>
      <c r="AW41" s="144">
        <f t="shared" si="16"/>
        <v>0</v>
      </c>
    </row>
    <row r="42" spans="1:49" ht="9.75" thickBot="1" x14ac:dyDescent="0.2">
      <c r="A42" s="175"/>
      <c r="B42" s="176"/>
      <c r="C42" s="176"/>
      <c r="D42" s="170" t="str">
        <f t="shared" si="0"/>
        <v xml:space="preserve"> </v>
      </c>
      <c r="E42" s="178"/>
      <c r="F42" s="288">
        <v>0</v>
      </c>
      <c r="G42" s="178">
        <v>37</v>
      </c>
      <c r="H42" s="178">
        <v>37</v>
      </c>
      <c r="I42" s="178"/>
      <c r="J42" s="180"/>
      <c r="K42" s="178"/>
      <c r="L42" s="180"/>
      <c r="M42" s="180"/>
      <c r="N42" s="178"/>
      <c r="O42" s="178"/>
      <c r="P42" s="178"/>
      <c r="Q42" s="171">
        <f>AS42</f>
        <v>0</v>
      </c>
      <c r="R42" s="171">
        <f>AT42</f>
        <v>0</v>
      </c>
      <c r="S42" s="172">
        <f>AU42</f>
        <v>0</v>
      </c>
      <c r="U42" s="144">
        <f>IF(OR(C41=5,C42=5),0,1)</f>
        <v>1</v>
      </c>
      <c r="V42" s="144">
        <f t="shared" si="7"/>
        <v>0</v>
      </c>
      <c r="W42" s="144">
        <f t="shared" si="8"/>
        <v>0</v>
      </c>
      <c r="X42" s="144">
        <f t="shared" si="17"/>
        <v>0</v>
      </c>
      <c r="Y42" s="144">
        <f t="shared" si="10"/>
        <v>34.464599999999997</v>
      </c>
      <c r="Z42" s="169">
        <f t="shared" si="1"/>
        <v>0</v>
      </c>
      <c r="AA42" s="274">
        <f t="shared" si="2"/>
        <v>0</v>
      </c>
      <c r="AB42" s="169">
        <f t="shared" si="11"/>
        <v>0</v>
      </c>
      <c r="AC42" s="274">
        <f t="shared" si="3"/>
        <v>0</v>
      </c>
      <c r="AD42" s="169">
        <f t="shared" si="4"/>
        <v>0</v>
      </c>
      <c r="AE42" s="274">
        <f t="shared" si="5"/>
        <v>0</v>
      </c>
      <c r="AF42" s="169">
        <f t="shared" si="12"/>
        <v>0</v>
      </c>
      <c r="AG42" s="274">
        <f t="shared" si="6"/>
        <v>0</v>
      </c>
      <c r="AH42" s="169">
        <f t="shared" si="13"/>
        <v>0</v>
      </c>
      <c r="AI42" s="169"/>
      <c r="AJ42" s="169">
        <f t="shared" si="14"/>
        <v>0</v>
      </c>
      <c r="AK42" s="169">
        <f t="shared" si="15"/>
        <v>0</v>
      </c>
      <c r="AL42" s="169"/>
      <c r="AM42" s="169">
        <f>AK41*W41+AK42*W42</f>
        <v>0</v>
      </c>
      <c r="AN42" s="169">
        <f>(SUM(AD41:AG41)*W41+SUM(AD42:AG42)*W42)*12*VLOOKUP(C42,JNovergang,3,1)</f>
        <v>0</v>
      </c>
      <c r="AO42" s="169">
        <f>AM42-AN42</f>
        <v>0</v>
      </c>
      <c r="AP42" s="169">
        <f>M42*(100+X42)%</f>
        <v>0</v>
      </c>
      <c r="AQ42" s="274">
        <f>ROUND(M42*F42,2)</f>
        <v>0</v>
      </c>
      <c r="AS42" s="274">
        <f>ROUND((AP42+AQ42)+AM42*(N42/12),0)</f>
        <v>0</v>
      </c>
      <c r="AT42" s="274">
        <f>ROUND(AM42*(O42/12),0)</f>
        <v>0</v>
      </c>
      <c r="AU42" s="274">
        <f>ROUND(AM42*(P42/12)*U42,0)</f>
        <v>0</v>
      </c>
      <c r="AW42" s="144">
        <f t="shared" si="16"/>
        <v>0</v>
      </c>
    </row>
    <row r="43" spans="1:49" x14ac:dyDescent="0.15">
      <c r="A43" s="173"/>
      <c r="B43" s="174"/>
      <c r="C43" s="174"/>
      <c r="D43" s="165" t="str">
        <f t="shared" si="0"/>
        <v xml:space="preserve"> </v>
      </c>
      <c r="E43" s="177"/>
      <c r="F43" s="287">
        <v>0</v>
      </c>
      <c r="G43" s="177">
        <v>37</v>
      </c>
      <c r="H43" s="177">
        <v>37</v>
      </c>
      <c r="I43" s="177"/>
      <c r="J43" s="179"/>
      <c r="K43" s="177"/>
      <c r="L43" s="179"/>
      <c r="M43" s="166"/>
      <c r="N43" s="166"/>
      <c r="O43" s="166"/>
      <c r="P43" s="166"/>
      <c r="Q43" s="167"/>
      <c r="R43" s="167"/>
      <c r="S43" s="168"/>
      <c r="V43" s="144">
        <f t="shared" si="7"/>
        <v>0</v>
      </c>
      <c r="W43" s="144">
        <f t="shared" si="8"/>
        <v>0</v>
      </c>
      <c r="X43" s="144">
        <f t="shared" si="17"/>
        <v>0</v>
      </c>
      <c r="Y43" s="144">
        <f t="shared" si="10"/>
        <v>34.464599999999997</v>
      </c>
      <c r="Z43" s="169">
        <f t="shared" si="1"/>
        <v>0</v>
      </c>
      <c r="AA43" s="274">
        <f t="shared" si="2"/>
        <v>0</v>
      </c>
      <c r="AB43" s="169">
        <f t="shared" si="11"/>
        <v>0</v>
      </c>
      <c r="AC43" s="274">
        <f t="shared" si="3"/>
        <v>0</v>
      </c>
      <c r="AD43" s="169">
        <f t="shared" si="4"/>
        <v>0</v>
      </c>
      <c r="AE43" s="274">
        <f t="shared" si="5"/>
        <v>0</v>
      </c>
      <c r="AF43" s="169">
        <f t="shared" si="12"/>
        <v>0</v>
      </c>
      <c r="AG43" s="274">
        <f t="shared" si="6"/>
        <v>0</v>
      </c>
      <c r="AH43" s="169">
        <f t="shared" si="13"/>
        <v>0</v>
      </c>
      <c r="AI43" s="169"/>
      <c r="AJ43" s="169">
        <f t="shared" si="14"/>
        <v>0</v>
      </c>
      <c r="AK43" s="169">
        <f t="shared" si="15"/>
        <v>0</v>
      </c>
      <c r="AL43" s="169"/>
      <c r="AM43" s="169"/>
      <c r="AN43" s="169"/>
      <c r="AQ43" s="169"/>
      <c r="AW43" s="144">
        <f t="shared" si="16"/>
        <v>0</v>
      </c>
    </row>
    <row r="44" spans="1:49" ht="9.75" thickBot="1" x14ac:dyDescent="0.2">
      <c r="A44" s="175"/>
      <c r="B44" s="176"/>
      <c r="C44" s="176"/>
      <c r="D44" s="170" t="str">
        <f t="shared" si="0"/>
        <v xml:space="preserve"> </v>
      </c>
      <c r="E44" s="178"/>
      <c r="F44" s="288">
        <v>0</v>
      </c>
      <c r="G44" s="178">
        <v>37</v>
      </c>
      <c r="H44" s="178">
        <v>37</v>
      </c>
      <c r="I44" s="178"/>
      <c r="J44" s="180"/>
      <c r="K44" s="178"/>
      <c r="L44" s="180"/>
      <c r="M44" s="180"/>
      <c r="N44" s="178"/>
      <c r="O44" s="178"/>
      <c r="P44" s="178"/>
      <c r="Q44" s="171">
        <f>AS44</f>
        <v>0</v>
      </c>
      <c r="R44" s="171">
        <f>AT44</f>
        <v>0</v>
      </c>
      <c r="S44" s="172">
        <f>AU44</f>
        <v>0</v>
      </c>
      <c r="U44" s="144">
        <f>IF(OR(C43=5,C44=5),0,1)</f>
        <v>1</v>
      </c>
      <c r="V44" s="144">
        <f t="shared" si="7"/>
        <v>0</v>
      </c>
      <c r="W44" s="144">
        <f t="shared" si="8"/>
        <v>0</v>
      </c>
      <c r="X44" s="144">
        <f t="shared" si="17"/>
        <v>0</v>
      </c>
      <c r="Y44" s="144">
        <f t="shared" si="10"/>
        <v>34.464599999999997</v>
      </c>
      <c r="Z44" s="169">
        <f t="shared" si="1"/>
        <v>0</v>
      </c>
      <c r="AA44" s="274">
        <f t="shared" si="2"/>
        <v>0</v>
      </c>
      <c r="AB44" s="169">
        <f t="shared" si="11"/>
        <v>0</v>
      </c>
      <c r="AC44" s="274">
        <f t="shared" si="3"/>
        <v>0</v>
      </c>
      <c r="AD44" s="169">
        <f t="shared" si="4"/>
        <v>0</v>
      </c>
      <c r="AE44" s="274">
        <f t="shared" si="5"/>
        <v>0</v>
      </c>
      <c r="AF44" s="169">
        <f t="shared" si="12"/>
        <v>0</v>
      </c>
      <c r="AG44" s="274">
        <f t="shared" si="6"/>
        <v>0</v>
      </c>
      <c r="AH44" s="169">
        <f t="shared" si="13"/>
        <v>0</v>
      </c>
      <c r="AI44" s="169"/>
      <c r="AJ44" s="169">
        <f t="shared" si="14"/>
        <v>0</v>
      </c>
      <c r="AK44" s="169">
        <f t="shared" si="15"/>
        <v>0</v>
      </c>
      <c r="AL44" s="169"/>
      <c r="AM44" s="169">
        <f>AK43*W43+AK44*W44</f>
        <v>0</v>
      </c>
      <c r="AN44" s="169">
        <f>(SUM(AD43:AG43)*W43+SUM(AD44:AG44)*W44)*12*VLOOKUP(C44,JNovergang,3,1)</f>
        <v>0</v>
      </c>
      <c r="AO44" s="169">
        <f>AM44-AN44</f>
        <v>0</v>
      </c>
      <c r="AP44" s="169">
        <f>M44*(100+X44)%</f>
        <v>0</v>
      </c>
      <c r="AQ44" s="274">
        <f>ROUND(M44*F44,2)</f>
        <v>0</v>
      </c>
      <c r="AS44" s="274">
        <f>ROUND((AP44+AQ44)+AM44*(N44/12),0)</f>
        <v>0</v>
      </c>
      <c r="AT44" s="274">
        <f>ROUND(AM44*(O44/12),0)</f>
        <v>0</v>
      </c>
      <c r="AU44" s="274">
        <f>ROUND(AM44*(P44/12)*U44,0)</f>
        <v>0</v>
      </c>
      <c r="AW44" s="144">
        <f t="shared" si="16"/>
        <v>0</v>
      </c>
    </row>
    <row r="45" spans="1:49" x14ac:dyDescent="0.15">
      <c r="A45" s="173"/>
      <c r="B45" s="174"/>
      <c r="C45" s="174"/>
      <c r="D45" s="165" t="str">
        <f t="shared" si="0"/>
        <v xml:space="preserve"> </v>
      </c>
      <c r="E45" s="177"/>
      <c r="F45" s="287">
        <v>0</v>
      </c>
      <c r="G45" s="177">
        <v>37</v>
      </c>
      <c r="H45" s="177">
        <v>37</v>
      </c>
      <c r="I45" s="177"/>
      <c r="J45" s="179"/>
      <c r="K45" s="177"/>
      <c r="L45" s="179"/>
      <c r="M45" s="166"/>
      <c r="N45" s="166"/>
      <c r="O45" s="166"/>
      <c r="P45" s="166"/>
      <c r="Q45" s="167"/>
      <c r="R45" s="167"/>
      <c r="S45" s="168"/>
      <c r="V45" s="144">
        <f t="shared" si="7"/>
        <v>0</v>
      </c>
      <c r="W45" s="144">
        <f t="shared" si="8"/>
        <v>0</v>
      </c>
      <c r="X45" s="144">
        <f t="shared" si="17"/>
        <v>0</v>
      </c>
      <c r="Y45" s="144">
        <f t="shared" si="10"/>
        <v>34.464599999999997</v>
      </c>
      <c r="Z45" s="169">
        <f t="shared" si="1"/>
        <v>0</v>
      </c>
      <c r="AA45" s="274">
        <f t="shared" si="2"/>
        <v>0</v>
      </c>
      <c r="AB45" s="169">
        <f t="shared" si="11"/>
        <v>0</v>
      </c>
      <c r="AC45" s="274">
        <f t="shared" si="3"/>
        <v>0</v>
      </c>
      <c r="AD45" s="169">
        <f t="shared" si="4"/>
        <v>0</v>
      </c>
      <c r="AE45" s="274">
        <f t="shared" si="5"/>
        <v>0</v>
      </c>
      <c r="AF45" s="169">
        <f t="shared" si="12"/>
        <v>0</v>
      </c>
      <c r="AG45" s="274">
        <f t="shared" si="6"/>
        <v>0</v>
      </c>
      <c r="AH45" s="169">
        <f t="shared" si="13"/>
        <v>0</v>
      </c>
      <c r="AI45" s="169"/>
      <c r="AJ45" s="169">
        <f t="shared" si="14"/>
        <v>0</v>
      </c>
      <c r="AK45" s="169">
        <f t="shared" si="15"/>
        <v>0</v>
      </c>
      <c r="AL45" s="169"/>
      <c r="AM45" s="169"/>
      <c r="AN45" s="169"/>
      <c r="AQ45" s="169"/>
      <c r="AW45" s="144">
        <f t="shared" si="16"/>
        <v>0</v>
      </c>
    </row>
    <row r="46" spans="1:49" ht="9.75" thickBot="1" x14ac:dyDescent="0.2">
      <c r="A46" s="175"/>
      <c r="B46" s="176"/>
      <c r="C46" s="176"/>
      <c r="D46" s="170" t="str">
        <f t="shared" si="0"/>
        <v xml:space="preserve"> </v>
      </c>
      <c r="E46" s="178"/>
      <c r="F46" s="288">
        <v>0</v>
      </c>
      <c r="G46" s="178">
        <v>37</v>
      </c>
      <c r="H46" s="178">
        <v>37</v>
      </c>
      <c r="I46" s="178"/>
      <c r="J46" s="180"/>
      <c r="K46" s="178"/>
      <c r="L46" s="180"/>
      <c r="M46" s="180"/>
      <c r="N46" s="178"/>
      <c r="O46" s="178"/>
      <c r="P46" s="178"/>
      <c r="Q46" s="171">
        <f>AS46</f>
        <v>0</v>
      </c>
      <c r="R46" s="171">
        <f>AT46</f>
        <v>0</v>
      </c>
      <c r="S46" s="172">
        <f>AU46</f>
        <v>0</v>
      </c>
      <c r="U46" s="144">
        <f>IF(OR(C45=5,C46=5),0,1)</f>
        <v>1</v>
      </c>
      <c r="V46" s="144">
        <f t="shared" si="7"/>
        <v>0</v>
      </c>
      <c r="W46" s="144">
        <f t="shared" si="8"/>
        <v>0</v>
      </c>
      <c r="X46" s="144">
        <f t="shared" si="17"/>
        <v>0</v>
      </c>
      <c r="Y46" s="144">
        <f t="shared" si="10"/>
        <v>34.464599999999997</v>
      </c>
      <c r="Z46" s="169">
        <f t="shared" si="1"/>
        <v>0</v>
      </c>
      <c r="AA46" s="274">
        <f t="shared" si="2"/>
        <v>0</v>
      </c>
      <c r="AB46" s="169">
        <f t="shared" si="11"/>
        <v>0</v>
      </c>
      <c r="AC46" s="274">
        <f t="shared" si="3"/>
        <v>0</v>
      </c>
      <c r="AD46" s="169">
        <f t="shared" si="4"/>
        <v>0</v>
      </c>
      <c r="AE46" s="274">
        <f t="shared" si="5"/>
        <v>0</v>
      </c>
      <c r="AF46" s="169">
        <f t="shared" si="12"/>
        <v>0</v>
      </c>
      <c r="AG46" s="274">
        <f t="shared" si="6"/>
        <v>0</v>
      </c>
      <c r="AH46" s="169">
        <f t="shared" si="13"/>
        <v>0</v>
      </c>
      <c r="AI46" s="169"/>
      <c r="AJ46" s="169">
        <f t="shared" si="14"/>
        <v>0</v>
      </c>
      <c r="AK46" s="169">
        <f t="shared" si="15"/>
        <v>0</v>
      </c>
      <c r="AL46" s="169"/>
      <c r="AM46" s="169">
        <f>AK45*W45+AK46*W46</f>
        <v>0</v>
      </c>
      <c r="AN46" s="169">
        <f>(SUM(AD45:AG45)*W45+SUM(AD46:AG46)*W46)*12*VLOOKUP(C46,JNovergang,3,1)</f>
        <v>0</v>
      </c>
      <c r="AO46" s="169">
        <f>AM46-AN46</f>
        <v>0</v>
      </c>
      <c r="AP46" s="169">
        <f>M46*(100+X46)%</f>
        <v>0</v>
      </c>
      <c r="AQ46" s="274">
        <f>ROUND(M46*F46,2)</f>
        <v>0</v>
      </c>
      <c r="AS46" s="274">
        <f>ROUND((AP46+AQ46)+AM46*(N46/12),0)</f>
        <v>0</v>
      </c>
      <c r="AT46" s="274">
        <f>ROUND(AM46*(O46/12),0)</f>
        <v>0</v>
      </c>
      <c r="AU46" s="274">
        <f>ROUND(AM46*(P46/12)*U46,0)</f>
        <v>0</v>
      </c>
      <c r="AW46" s="144">
        <f t="shared" si="16"/>
        <v>0</v>
      </c>
    </row>
    <row r="47" spans="1:49" x14ac:dyDescent="0.15">
      <c r="A47" s="173"/>
      <c r="B47" s="174"/>
      <c r="C47" s="174"/>
      <c r="D47" s="165" t="str">
        <f t="shared" si="0"/>
        <v xml:space="preserve"> </v>
      </c>
      <c r="E47" s="177"/>
      <c r="F47" s="287">
        <v>0</v>
      </c>
      <c r="G47" s="177">
        <v>37</v>
      </c>
      <c r="H47" s="177">
        <v>37</v>
      </c>
      <c r="I47" s="177"/>
      <c r="J47" s="179"/>
      <c r="K47" s="177"/>
      <c r="L47" s="179"/>
      <c r="M47" s="166"/>
      <c r="N47" s="166"/>
      <c r="O47" s="166"/>
      <c r="P47" s="166"/>
      <c r="Q47" s="167"/>
      <c r="R47" s="167"/>
      <c r="S47" s="168"/>
      <c r="V47" s="144">
        <f t="shared" si="7"/>
        <v>0</v>
      </c>
      <c r="W47" s="144">
        <f t="shared" si="8"/>
        <v>0</v>
      </c>
      <c r="X47" s="144">
        <f t="shared" si="17"/>
        <v>0</v>
      </c>
      <c r="Y47" s="144">
        <f t="shared" si="10"/>
        <v>34.464599999999997</v>
      </c>
      <c r="Z47" s="169">
        <f t="shared" si="1"/>
        <v>0</v>
      </c>
      <c r="AA47" s="274">
        <f t="shared" si="2"/>
        <v>0</v>
      </c>
      <c r="AB47" s="169">
        <f t="shared" si="11"/>
        <v>0</v>
      </c>
      <c r="AC47" s="274">
        <f t="shared" si="3"/>
        <v>0</v>
      </c>
      <c r="AD47" s="169">
        <f t="shared" si="4"/>
        <v>0</v>
      </c>
      <c r="AE47" s="274">
        <f t="shared" si="5"/>
        <v>0</v>
      </c>
      <c r="AF47" s="169">
        <f t="shared" si="12"/>
        <v>0</v>
      </c>
      <c r="AG47" s="274">
        <f t="shared" si="6"/>
        <v>0</v>
      </c>
      <c r="AH47" s="169">
        <f t="shared" si="13"/>
        <v>0</v>
      </c>
      <c r="AI47" s="169"/>
      <c r="AJ47" s="169">
        <f t="shared" si="14"/>
        <v>0</v>
      </c>
      <c r="AK47" s="169">
        <f t="shared" si="15"/>
        <v>0</v>
      </c>
      <c r="AL47" s="169"/>
      <c r="AM47" s="169"/>
      <c r="AN47" s="169"/>
      <c r="AQ47" s="169"/>
      <c r="AW47" s="144">
        <f t="shared" si="16"/>
        <v>0</v>
      </c>
    </row>
    <row r="48" spans="1:49" ht="9.75" thickBot="1" x14ac:dyDescent="0.2">
      <c r="A48" s="175"/>
      <c r="B48" s="176"/>
      <c r="C48" s="176"/>
      <c r="D48" s="170" t="str">
        <f t="shared" si="0"/>
        <v xml:space="preserve"> </v>
      </c>
      <c r="E48" s="178"/>
      <c r="F48" s="288">
        <v>0</v>
      </c>
      <c r="G48" s="178">
        <v>37</v>
      </c>
      <c r="H48" s="178">
        <v>37</v>
      </c>
      <c r="I48" s="178"/>
      <c r="J48" s="180"/>
      <c r="K48" s="178"/>
      <c r="L48" s="180"/>
      <c r="M48" s="180"/>
      <c r="N48" s="178"/>
      <c r="O48" s="178"/>
      <c r="P48" s="178"/>
      <c r="Q48" s="171">
        <f>AS48</f>
        <v>0</v>
      </c>
      <c r="R48" s="171">
        <f>AT48</f>
        <v>0</v>
      </c>
      <c r="S48" s="172">
        <f>AU48</f>
        <v>0</v>
      </c>
      <c r="U48" s="144">
        <f>IF(OR(C47=5,C48=5),0,1)</f>
        <v>1</v>
      </c>
      <c r="V48" s="144">
        <f t="shared" si="7"/>
        <v>0</v>
      </c>
      <c r="W48" s="144">
        <f t="shared" si="8"/>
        <v>0</v>
      </c>
      <c r="X48" s="144">
        <f t="shared" si="17"/>
        <v>0</v>
      </c>
      <c r="Y48" s="144">
        <f t="shared" si="10"/>
        <v>34.464599999999997</v>
      </c>
      <c r="Z48" s="169">
        <f t="shared" si="1"/>
        <v>0</v>
      </c>
      <c r="AA48" s="274">
        <f t="shared" si="2"/>
        <v>0</v>
      </c>
      <c r="AB48" s="169">
        <f t="shared" si="11"/>
        <v>0</v>
      </c>
      <c r="AC48" s="274">
        <f t="shared" si="3"/>
        <v>0</v>
      </c>
      <c r="AD48" s="169">
        <f t="shared" si="4"/>
        <v>0</v>
      </c>
      <c r="AE48" s="274">
        <f t="shared" si="5"/>
        <v>0</v>
      </c>
      <c r="AF48" s="169">
        <f t="shared" si="12"/>
        <v>0</v>
      </c>
      <c r="AG48" s="274">
        <f t="shared" si="6"/>
        <v>0</v>
      </c>
      <c r="AH48" s="169">
        <f t="shared" si="13"/>
        <v>0</v>
      </c>
      <c r="AI48" s="169"/>
      <c r="AJ48" s="169">
        <f t="shared" si="14"/>
        <v>0</v>
      </c>
      <c r="AK48" s="169">
        <f t="shared" si="15"/>
        <v>0</v>
      </c>
      <c r="AL48" s="169"/>
      <c r="AM48" s="169">
        <f>AK47*W47+AK48*W48</f>
        <v>0</v>
      </c>
      <c r="AN48" s="169">
        <f>(SUM(AD47:AG47)*W47+SUM(AD48:AG48)*W48)*12*VLOOKUP(C48,JNovergang,3,1)</f>
        <v>0</v>
      </c>
      <c r="AO48" s="169">
        <f>AM48-AN48</f>
        <v>0</v>
      </c>
      <c r="AP48" s="169">
        <f>M48*(100+X48)%</f>
        <v>0</v>
      </c>
      <c r="AQ48" s="274">
        <f>ROUND(M48*F48,2)</f>
        <v>0</v>
      </c>
      <c r="AS48" s="274">
        <f>ROUND((AP48+AQ48)+AM48*(N48/12),0)</f>
        <v>0</v>
      </c>
      <c r="AT48" s="274">
        <f>ROUND(AM48*(O48/12),0)</f>
        <v>0</v>
      </c>
      <c r="AU48" s="274">
        <f>ROUND(AM48*(P48/12)*U48,0)</f>
        <v>0</v>
      </c>
      <c r="AW48" s="144">
        <f t="shared" si="16"/>
        <v>0</v>
      </c>
    </row>
    <row r="49" spans="1:49" x14ac:dyDescent="0.15">
      <c r="A49" s="173"/>
      <c r="B49" s="174"/>
      <c r="C49" s="174"/>
      <c r="D49" s="165" t="str">
        <f t="shared" si="0"/>
        <v xml:space="preserve"> </v>
      </c>
      <c r="E49" s="177"/>
      <c r="F49" s="287">
        <v>0</v>
      </c>
      <c r="G49" s="177">
        <v>37</v>
      </c>
      <c r="H49" s="177">
        <v>37</v>
      </c>
      <c r="I49" s="177"/>
      <c r="J49" s="179"/>
      <c r="K49" s="177"/>
      <c r="L49" s="179"/>
      <c r="M49" s="166"/>
      <c r="N49" s="166"/>
      <c r="O49" s="166"/>
      <c r="P49" s="166"/>
      <c r="Q49" s="167"/>
      <c r="R49" s="167"/>
      <c r="S49" s="168"/>
      <c r="V49" s="144">
        <f t="shared" si="7"/>
        <v>0</v>
      </c>
      <c r="W49" s="144">
        <f t="shared" si="8"/>
        <v>0</v>
      </c>
      <c r="X49" s="144">
        <f t="shared" si="17"/>
        <v>0</v>
      </c>
      <c r="Y49" s="144">
        <f t="shared" si="10"/>
        <v>34.464599999999997</v>
      </c>
      <c r="Z49" s="169">
        <f t="shared" si="1"/>
        <v>0</v>
      </c>
      <c r="AA49" s="274">
        <f t="shared" si="2"/>
        <v>0</v>
      </c>
      <c r="AB49" s="169">
        <f t="shared" si="11"/>
        <v>0</v>
      </c>
      <c r="AC49" s="274">
        <f t="shared" si="3"/>
        <v>0</v>
      </c>
      <c r="AD49" s="169">
        <f t="shared" si="4"/>
        <v>0</v>
      </c>
      <c r="AE49" s="274">
        <f t="shared" si="5"/>
        <v>0</v>
      </c>
      <c r="AF49" s="169">
        <f t="shared" si="12"/>
        <v>0</v>
      </c>
      <c r="AG49" s="274">
        <f t="shared" si="6"/>
        <v>0</v>
      </c>
      <c r="AH49" s="169">
        <f t="shared" si="13"/>
        <v>0</v>
      </c>
      <c r="AI49" s="169"/>
      <c r="AJ49" s="169">
        <f t="shared" si="14"/>
        <v>0</v>
      </c>
      <c r="AK49" s="169">
        <f t="shared" si="15"/>
        <v>0</v>
      </c>
      <c r="AL49" s="169"/>
      <c r="AM49" s="169"/>
      <c r="AN49" s="169"/>
      <c r="AQ49" s="169"/>
      <c r="AW49" s="144">
        <f t="shared" si="16"/>
        <v>0</v>
      </c>
    </row>
    <row r="50" spans="1:49" ht="9.75" thickBot="1" x14ac:dyDescent="0.2">
      <c r="A50" s="175"/>
      <c r="B50" s="176"/>
      <c r="C50" s="176"/>
      <c r="D50" s="170" t="str">
        <f t="shared" si="0"/>
        <v xml:space="preserve"> </v>
      </c>
      <c r="E50" s="178"/>
      <c r="F50" s="288">
        <v>0</v>
      </c>
      <c r="G50" s="178">
        <v>37</v>
      </c>
      <c r="H50" s="178">
        <v>37</v>
      </c>
      <c r="I50" s="178"/>
      <c r="J50" s="180"/>
      <c r="K50" s="178"/>
      <c r="L50" s="180"/>
      <c r="M50" s="180"/>
      <c r="N50" s="178"/>
      <c r="O50" s="178"/>
      <c r="P50" s="178"/>
      <c r="Q50" s="171">
        <f>AS50</f>
        <v>0</v>
      </c>
      <c r="R50" s="171">
        <f>AT50</f>
        <v>0</v>
      </c>
      <c r="S50" s="172">
        <f>AU50</f>
        <v>0</v>
      </c>
      <c r="U50" s="144">
        <f>IF(OR(C49=5,C50=5),0,1)</f>
        <v>1</v>
      </c>
      <c r="V50" s="144">
        <f t="shared" si="7"/>
        <v>0</v>
      </c>
      <c r="W50" s="144">
        <f t="shared" si="8"/>
        <v>0</v>
      </c>
      <c r="X50" s="144">
        <f t="shared" si="17"/>
        <v>0</v>
      </c>
      <c r="Y50" s="144">
        <f t="shared" si="10"/>
        <v>34.464599999999997</v>
      </c>
      <c r="Z50" s="169">
        <f t="shared" si="1"/>
        <v>0</v>
      </c>
      <c r="AA50" s="274">
        <f t="shared" si="2"/>
        <v>0</v>
      </c>
      <c r="AB50" s="169">
        <f t="shared" si="11"/>
        <v>0</v>
      </c>
      <c r="AC50" s="274">
        <f t="shared" si="3"/>
        <v>0</v>
      </c>
      <c r="AD50" s="169">
        <f t="shared" si="4"/>
        <v>0</v>
      </c>
      <c r="AE50" s="274">
        <f t="shared" si="5"/>
        <v>0</v>
      </c>
      <c r="AF50" s="169">
        <f t="shared" si="12"/>
        <v>0</v>
      </c>
      <c r="AG50" s="274">
        <f t="shared" si="6"/>
        <v>0</v>
      </c>
      <c r="AH50" s="169">
        <f t="shared" si="13"/>
        <v>0</v>
      </c>
      <c r="AI50" s="169"/>
      <c r="AJ50" s="169">
        <f t="shared" si="14"/>
        <v>0</v>
      </c>
      <c r="AK50" s="169">
        <f t="shared" si="15"/>
        <v>0</v>
      </c>
      <c r="AL50" s="169"/>
      <c r="AM50" s="169">
        <f>AK49*W49+AK50*W50</f>
        <v>0</v>
      </c>
      <c r="AN50" s="169">
        <f>(SUM(AD49:AG49)*W49+SUM(AD50:AG50)*W50)*12*VLOOKUP(C50,JNovergang,3,1)</f>
        <v>0</v>
      </c>
      <c r="AO50" s="169">
        <f>AM50-AN50</f>
        <v>0</v>
      </c>
      <c r="AP50" s="169">
        <f>M50*(100+X50)%</f>
        <v>0</v>
      </c>
      <c r="AQ50" s="274">
        <f>ROUND(M50*F50,2)</f>
        <v>0</v>
      </c>
      <c r="AS50" s="274">
        <f>ROUND((AP50+AQ50)+AM50*(N50/12),0)</f>
        <v>0</v>
      </c>
      <c r="AT50" s="274">
        <f>ROUND(AM50*(O50/12),0)</f>
        <v>0</v>
      </c>
      <c r="AU50" s="274">
        <f>ROUND(AM50*(P50/12)*U50,0)</f>
        <v>0</v>
      </c>
      <c r="AW50" s="144">
        <f t="shared" si="16"/>
        <v>0</v>
      </c>
    </row>
    <row r="51" spans="1:49" x14ac:dyDescent="0.15">
      <c r="A51" s="173"/>
      <c r="B51" s="174"/>
      <c r="C51" s="174"/>
      <c r="D51" s="165" t="str">
        <f t="shared" si="0"/>
        <v xml:space="preserve"> </v>
      </c>
      <c r="E51" s="177"/>
      <c r="F51" s="287">
        <v>0</v>
      </c>
      <c r="G51" s="177">
        <v>37</v>
      </c>
      <c r="H51" s="177">
        <v>37</v>
      </c>
      <c r="I51" s="177"/>
      <c r="J51" s="179"/>
      <c r="K51" s="177"/>
      <c r="L51" s="179"/>
      <c r="M51" s="166"/>
      <c r="N51" s="166"/>
      <c r="O51" s="166"/>
      <c r="P51" s="166"/>
      <c r="Q51" s="167"/>
      <c r="R51" s="167"/>
      <c r="S51" s="168"/>
      <c r="V51" s="144">
        <f t="shared" si="7"/>
        <v>0</v>
      </c>
      <c r="W51" s="144">
        <f t="shared" si="8"/>
        <v>0</v>
      </c>
      <c r="X51" s="144">
        <f t="shared" ref="X51:X114" si="18">VLOOKUP(C51,JNferiepenge,3,1)</f>
        <v>0</v>
      </c>
      <c r="Y51" s="144">
        <f t="shared" si="10"/>
        <v>34.464599999999997</v>
      </c>
      <c r="Z51" s="169">
        <f t="shared" si="1"/>
        <v>0</v>
      </c>
      <c r="AA51" s="274">
        <f t="shared" si="2"/>
        <v>0</v>
      </c>
      <c r="AB51" s="169">
        <f t="shared" si="11"/>
        <v>0</v>
      </c>
      <c r="AC51" s="274">
        <f t="shared" si="3"/>
        <v>0</v>
      </c>
      <c r="AD51" s="169">
        <f t="shared" si="4"/>
        <v>0</v>
      </c>
      <c r="AE51" s="274">
        <f t="shared" si="5"/>
        <v>0</v>
      </c>
      <c r="AF51" s="169">
        <f t="shared" si="12"/>
        <v>0</v>
      </c>
      <c r="AG51" s="274">
        <f t="shared" si="6"/>
        <v>0</v>
      </c>
      <c r="AH51" s="169">
        <f t="shared" si="13"/>
        <v>0</v>
      </c>
      <c r="AI51" s="169"/>
      <c r="AJ51" s="169">
        <f t="shared" si="14"/>
        <v>0</v>
      </c>
      <c r="AK51" s="169">
        <f t="shared" si="15"/>
        <v>0</v>
      </c>
      <c r="AL51" s="169"/>
      <c r="AM51" s="169"/>
      <c r="AN51" s="169"/>
      <c r="AQ51" s="169"/>
      <c r="AW51" s="144">
        <f t="shared" si="16"/>
        <v>0</v>
      </c>
    </row>
    <row r="52" spans="1:49" ht="9.75" thickBot="1" x14ac:dyDescent="0.2">
      <c r="A52" s="175"/>
      <c r="B52" s="176"/>
      <c r="C52" s="176"/>
      <c r="D52" s="170" t="str">
        <f t="shared" si="0"/>
        <v xml:space="preserve"> </v>
      </c>
      <c r="E52" s="178"/>
      <c r="F52" s="288">
        <v>0</v>
      </c>
      <c r="G52" s="178">
        <v>37</v>
      </c>
      <c r="H52" s="178">
        <v>37</v>
      </c>
      <c r="I52" s="178"/>
      <c r="J52" s="180"/>
      <c r="K52" s="178"/>
      <c r="L52" s="180"/>
      <c r="M52" s="180"/>
      <c r="N52" s="178"/>
      <c r="O52" s="178"/>
      <c r="P52" s="178"/>
      <c r="Q52" s="171">
        <f>AS52</f>
        <v>0</v>
      </c>
      <c r="R52" s="171">
        <f>AT52</f>
        <v>0</v>
      </c>
      <c r="S52" s="172">
        <f>AU52</f>
        <v>0</v>
      </c>
      <c r="U52" s="144">
        <f>IF(OR(C51=5,C52=5),0,1)</f>
        <v>1</v>
      </c>
      <c r="V52" s="144">
        <f t="shared" si="7"/>
        <v>0</v>
      </c>
      <c r="W52" s="144">
        <f t="shared" si="8"/>
        <v>0</v>
      </c>
      <c r="X52" s="144">
        <f t="shared" si="18"/>
        <v>0</v>
      </c>
      <c r="Y52" s="144">
        <f t="shared" si="10"/>
        <v>34.464599999999997</v>
      </c>
      <c r="Z52" s="169">
        <f t="shared" si="1"/>
        <v>0</v>
      </c>
      <c r="AA52" s="274">
        <f t="shared" si="2"/>
        <v>0</v>
      </c>
      <c r="AB52" s="169">
        <f t="shared" si="11"/>
        <v>0</v>
      </c>
      <c r="AC52" s="274">
        <f t="shared" si="3"/>
        <v>0</v>
      </c>
      <c r="AD52" s="169">
        <f t="shared" si="4"/>
        <v>0</v>
      </c>
      <c r="AE52" s="274">
        <f t="shared" si="5"/>
        <v>0</v>
      </c>
      <c r="AF52" s="169">
        <f t="shared" si="12"/>
        <v>0</v>
      </c>
      <c r="AG52" s="274">
        <f t="shared" si="6"/>
        <v>0</v>
      </c>
      <c r="AH52" s="169">
        <f t="shared" si="13"/>
        <v>0</v>
      </c>
      <c r="AI52" s="169"/>
      <c r="AJ52" s="169">
        <f t="shared" si="14"/>
        <v>0</v>
      </c>
      <c r="AK52" s="169">
        <f t="shared" si="15"/>
        <v>0</v>
      </c>
      <c r="AL52" s="169"/>
      <c r="AM52" s="169">
        <f>AK51*W51+AK52*W52</f>
        <v>0</v>
      </c>
      <c r="AN52" s="169">
        <f>(SUM(AD51:AG51)*W51+SUM(AD52:AG52)*W52)*12*VLOOKUP(C52,JNovergang,3,1)</f>
        <v>0</v>
      </c>
      <c r="AO52" s="169">
        <f>AM52-AN52</f>
        <v>0</v>
      </c>
      <c r="AP52" s="169">
        <f>M52*(100+X52)%</f>
        <v>0</v>
      </c>
      <c r="AQ52" s="274">
        <f>ROUND(M52*F52,2)</f>
        <v>0</v>
      </c>
      <c r="AS52" s="274">
        <f>ROUND((AP52+AQ52)+AM52*(N52/12),0)</f>
        <v>0</v>
      </c>
      <c r="AT52" s="274">
        <f>ROUND(AM52*(O52/12),0)</f>
        <v>0</v>
      </c>
      <c r="AU52" s="274">
        <f>ROUND(AM52*(P52/12)*U52,0)</f>
        <v>0</v>
      </c>
      <c r="AW52" s="144">
        <f t="shared" si="16"/>
        <v>0</v>
      </c>
    </row>
    <row r="53" spans="1:49" x14ac:dyDescent="0.15">
      <c r="A53" s="173"/>
      <c r="B53" s="174"/>
      <c r="C53" s="174"/>
      <c r="D53" s="165" t="str">
        <f t="shared" si="0"/>
        <v xml:space="preserve"> </v>
      </c>
      <c r="E53" s="177"/>
      <c r="F53" s="287">
        <v>0</v>
      </c>
      <c r="G53" s="177">
        <v>37</v>
      </c>
      <c r="H53" s="177">
        <v>37</v>
      </c>
      <c r="I53" s="177"/>
      <c r="J53" s="179"/>
      <c r="K53" s="177"/>
      <c r="L53" s="179"/>
      <c r="M53" s="166"/>
      <c r="N53" s="166"/>
      <c r="O53" s="166"/>
      <c r="P53" s="166"/>
      <c r="Q53" s="167"/>
      <c r="R53" s="167"/>
      <c r="S53" s="168"/>
      <c r="V53" s="144">
        <f t="shared" si="7"/>
        <v>0</v>
      </c>
      <c r="W53" s="144">
        <f t="shared" si="8"/>
        <v>0</v>
      </c>
      <c r="X53" s="144">
        <f t="shared" si="18"/>
        <v>0</v>
      </c>
      <c r="Y53" s="144">
        <f t="shared" si="10"/>
        <v>34.464599999999997</v>
      </c>
      <c r="Z53" s="169">
        <f t="shared" si="1"/>
        <v>0</v>
      </c>
      <c r="AA53" s="274">
        <f t="shared" si="2"/>
        <v>0</v>
      </c>
      <c r="AB53" s="169">
        <f t="shared" si="11"/>
        <v>0</v>
      </c>
      <c r="AC53" s="274">
        <f t="shared" si="3"/>
        <v>0</v>
      </c>
      <c r="AD53" s="169">
        <f t="shared" si="4"/>
        <v>0</v>
      </c>
      <c r="AE53" s="274">
        <f t="shared" si="5"/>
        <v>0</v>
      </c>
      <c r="AF53" s="169">
        <f t="shared" si="12"/>
        <v>0</v>
      </c>
      <c r="AG53" s="274">
        <f t="shared" si="6"/>
        <v>0</v>
      </c>
      <c r="AH53" s="169">
        <f t="shared" si="13"/>
        <v>0</v>
      </c>
      <c r="AI53" s="169"/>
      <c r="AJ53" s="169">
        <f t="shared" si="14"/>
        <v>0</v>
      </c>
      <c r="AK53" s="169">
        <f t="shared" si="15"/>
        <v>0</v>
      </c>
      <c r="AL53" s="169"/>
      <c r="AM53" s="169"/>
      <c r="AN53" s="169"/>
      <c r="AQ53" s="169"/>
      <c r="AW53" s="144">
        <f t="shared" si="16"/>
        <v>0</v>
      </c>
    </row>
    <row r="54" spans="1:49" ht="9.75" thickBot="1" x14ac:dyDescent="0.2">
      <c r="A54" s="175"/>
      <c r="B54" s="176"/>
      <c r="C54" s="176"/>
      <c r="D54" s="170" t="str">
        <f t="shared" si="0"/>
        <v xml:space="preserve"> </v>
      </c>
      <c r="E54" s="178"/>
      <c r="F54" s="288">
        <v>0</v>
      </c>
      <c r="G54" s="178">
        <v>37</v>
      </c>
      <c r="H54" s="178">
        <v>37</v>
      </c>
      <c r="I54" s="178"/>
      <c r="J54" s="180"/>
      <c r="K54" s="178"/>
      <c r="L54" s="180"/>
      <c r="M54" s="180"/>
      <c r="N54" s="178"/>
      <c r="O54" s="178"/>
      <c r="P54" s="178"/>
      <c r="Q54" s="171">
        <f>AS54</f>
        <v>0</v>
      </c>
      <c r="R54" s="171">
        <f>AT54</f>
        <v>0</v>
      </c>
      <c r="S54" s="172">
        <f>AU54</f>
        <v>0</v>
      </c>
      <c r="U54" s="144">
        <f>IF(OR(C53=5,C54=5),0,1)</f>
        <v>1</v>
      </c>
      <c r="V54" s="144">
        <f t="shared" si="7"/>
        <v>0</v>
      </c>
      <c r="W54" s="144">
        <f t="shared" si="8"/>
        <v>0</v>
      </c>
      <c r="X54" s="144">
        <f t="shared" si="18"/>
        <v>0</v>
      </c>
      <c r="Y54" s="144">
        <f t="shared" si="10"/>
        <v>34.464599999999997</v>
      </c>
      <c r="Z54" s="169">
        <f t="shared" si="1"/>
        <v>0</v>
      </c>
      <c r="AA54" s="274">
        <f t="shared" si="2"/>
        <v>0</v>
      </c>
      <c r="AB54" s="169">
        <f t="shared" si="11"/>
        <v>0</v>
      </c>
      <c r="AC54" s="274">
        <f t="shared" si="3"/>
        <v>0</v>
      </c>
      <c r="AD54" s="169">
        <f t="shared" si="4"/>
        <v>0</v>
      </c>
      <c r="AE54" s="274">
        <f t="shared" si="5"/>
        <v>0</v>
      </c>
      <c r="AF54" s="169">
        <f t="shared" si="12"/>
        <v>0</v>
      </c>
      <c r="AG54" s="274">
        <f t="shared" si="6"/>
        <v>0</v>
      </c>
      <c r="AH54" s="169">
        <f t="shared" si="13"/>
        <v>0</v>
      </c>
      <c r="AI54" s="169"/>
      <c r="AJ54" s="169">
        <f t="shared" si="14"/>
        <v>0</v>
      </c>
      <c r="AK54" s="169">
        <f t="shared" si="15"/>
        <v>0</v>
      </c>
      <c r="AL54" s="169"/>
      <c r="AM54" s="169">
        <f>AK53*W53+AK54*W54</f>
        <v>0</v>
      </c>
      <c r="AN54" s="169">
        <f>(SUM(AD53:AG53)*W53+SUM(AD54:AG54)*W54)*12*VLOOKUP(C54,JNovergang,3,1)</f>
        <v>0</v>
      </c>
      <c r="AO54" s="169">
        <f>AM54-AN54</f>
        <v>0</v>
      </c>
      <c r="AP54" s="169">
        <f>M54*(100+X54)%</f>
        <v>0</v>
      </c>
      <c r="AQ54" s="274">
        <f>ROUND(M54*F54,2)</f>
        <v>0</v>
      </c>
      <c r="AS54" s="274">
        <f>ROUND((AP54+AQ54)+AM54*(N54/12),0)</f>
        <v>0</v>
      </c>
      <c r="AT54" s="274">
        <f>ROUND(AM54*(O54/12),0)</f>
        <v>0</v>
      </c>
      <c r="AU54" s="274">
        <f>ROUND(AM54*(P54/12)*U54,0)</f>
        <v>0</v>
      </c>
      <c r="AW54" s="144">
        <f t="shared" si="16"/>
        <v>0</v>
      </c>
    </row>
    <row r="55" spans="1:49" x14ac:dyDescent="0.15">
      <c r="A55" s="173"/>
      <c r="B55" s="174"/>
      <c r="C55" s="174"/>
      <c r="D55" s="165" t="str">
        <f t="shared" si="0"/>
        <v xml:space="preserve"> </v>
      </c>
      <c r="E55" s="177"/>
      <c r="F55" s="287">
        <v>0</v>
      </c>
      <c r="G55" s="177">
        <v>37</v>
      </c>
      <c r="H55" s="177">
        <v>37</v>
      </c>
      <c r="I55" s="177"/>
      <c r="J55" s="179"/>
      <c r="K55" s="177"/>
      <c r="L55" s="179"/>
      <c r="M55" s="166"/>
      <c r="N55" s="166"/>
      <c r="O55" s="166"/>
      <c r="P55" s="166"/>
      <c r="Q55" s="167"/>
      <c r="R55" s="167"/>
      <c r="S55" s="168"/>
      <c r="V55" s="144">
        <f t="shared" si="7"/>
        <v>0</v>
      </c>
      <c r="W55" s="144">
        <f t="shared" si="8"/>
        <v>0</v>
      </c>
      <c r="X55" s="144">
        <f t="shared" si="18"/>
        <v>0</v>
      </c>
      <c r="Y55" s="144">
        <f t="shared" si="10"/>
        <v>34.464599999999997</v>
      </c>
      <c r="Z55" s="169">
        <f t="shared" si="1"/>
        <v>0</v>
      </c>
      <c r="AA55" s="274">
        <f t="shared" si="2"/>
        <v>0</v>
      </c>
      <c r="AB55" s="169">
        <f t="shared" si="11"/>
        <v>0</v>
      </c>
      <c r="AC55" s="274">
        <f t="shared" si="3"/>
        <v>0</v>
      </c>
      <c r="AD55" s="169">
        <f t="shared" si="4"/>
        <v>0</v>
      </c>
      <c r="AE55" s="274">
        <f t="shared" si="5"/>
        <v>0</v>
      </c>
      <c r="AF55" s="169">
        <f t="shared" si="12"/>
        <v>0</v>
      </c>
      <c r="AG55" s="274">
        <f t="shared" si="6"/>
        <v>0</v>
      </c>
      <c r="AH55" s="169">
        <f t="shared" si="13"/>
        <v>0</v>
      </c>
      <c r="AI55" s="169"/>
      <c r="AJ55" s="169">
        <f t="shared" si="14"/>
        <v>0</v>
      </c>
      <c r="AK55" s="169">
        <f t="shared" si="15"/>
        <v>0</v>
      </c>
      <c r="AL55" s="169"/>
      <c r="AM55" s="169"/>
      <c r="AN55" s="169"/>
      <c r="AQ55" s="169"/>
      <c r="AW55" s="144">
        <f t="shared" si="16"/>
        <v>0</v>
      </c>
    </row>
    <row r="56" spans="1:49" ht="9.75" thickBot="1" x14ac:dyDescent="0.2">
      <c r="A56" s="175"/>
      <c r="B56" s="176"/>
      <c r="C56" s="176"/>
      <c r="D56" s="170" t="str">
        <f t="shared" si="0"/>
        <v xml:space="preserve"> </v>
      </c>
      <c r="E56" s="178"/>
      <c r="F56" s="288">
        <v>0</v>
      </c>
      <c r="G56" s="178">
        <v>37</v>
      </c>
      <c r="H56" s="178">
        <v>37</v>
      </c>
      <c r="I56" s="178"/>
      <c r="J56" s="180"/>
      <c r="K56" s="178"/>
      <c r="L56" s="180"/>
      <c r="M56" s="180"/>
      <c r="N56" s="178"/>
      <c r="O56" s="178"/>
      <c r="P56" s="178"/>
      <c r="Q56" s="171">
        <f>AS56</f>
        <v>0</v>
      </c>
      <c r="R56" s="171">
        <f>AT56</f>
        <v>0</v>
      </c>
      <c r="S56" s="172">
        <f>AU56</f>
        <v>0</v>
      </c>
      <c r="U56" s="144">
        <f>IF(OR(C55=5,C56=5),0,1)</f>
        <v>1</v>
      </c>
      <c r="V56" s="144">
        <f t="shared" si="7"/>
        <v>0</v>
      </c>
      <c r="W56" s="144">
        <f t="shared" si="8"/>
        <v>0</v>
      </c>
      <c r="X56" s="144">
        <f t="shared" si="18"/>
        <v>0</v>
      </c>
      <c r="Y56" s="144">
        <f t="shared" si="10"/>
        <v>34.464599999999997</v>
      </c>
      <c r="Z56" s="169">
        <f t="shared" si="1"/>
        <v>0</v>
      </c>
      <c r="AA56" s="274">
        <f t="shared" si="2"/>
        <v>0</v>
      </c>
      <c r="AB56" s="169">
        <f t="shared" si="11"/>
        <v>0</v>
      </c>
      <c r="AC56" s="274">
        <f t="shared" si="3"/>
        <v>0</v>
      </c>
      <c r="AD56" s="169">
        <f t="shared" si="4"/>
        <v>0</v>
      </c>
      <c r="AE56" s="274">
        <f t="shared" si="5"/>
        <v>0</v>
      </c>
      <c r="AF56" s="169">
        <f t="shared" si="12"/>
        <v>0</v>
      </c>
      <c r="AG56" s="274">
        <f t="shared" si="6"/>
        <v>0</v>
      </c>
      <c r="AH56" s="169">
        <f t="shared" si="13"/>
        <v>0</v>
      </c>
      <c r="AI56" s="169"/>
      <c r="AJ56" s="169">
        <f t="shared" si="14"/>
        <v>0</v>
      </c>
      <c r="AK56" s="169">
        <f t="shared" si="15"/>
        <v>0</v>
      </c>
      <c r="AL56" s="169"/>
      <c r="AM56" s="169">
        <f>AK55*W55+AK56*W56</f>
        <v>0</v>
      </c>
      <c r="AN56" s="169">
        <f>(SUM(AD55:AG55)*W55+SUM(AD56:AG56)*W56)*12*VLOOKUP(C56,JNovergang,3,1)</f>
        <v>0</v>
      </c>
      <c r="AO56" s="169">
        <f>AM56-AN56</f>
        <v>0</v>
      </c>
      <c r="AP56" s="169">
        <f>M56*(100+X56)%</f>
        <v>0</v>
      </c>
      <c r="AQ56" s="274">
        <f>ROUND(M56*F56,2)</f>
        <v>0</v>
      </c>
      <c r="AS56" s="274">
        <f>ROUND((AP56+AQ56)+AM56*(N56/12),0)</f>
        <v>0</v>
      </c>
      <c r="AT56" s="274">
        <f>ROUND(AM56*(O56/12),0)</f>
        <v>0</v>
      </c>
      <c r="AU56" s="274">
        <f>ROUND(AM56*(P56/12)*U56,0)</f>
        <v>0</v>
      </c>
      <c r="AW56" s="144">
        <f t="shared" si="16"/>
        <v>0</v>
      </c>
    </row>
    <row r="57" spans="1:49" x14ac:dyDescent="0.15">
      <c r="A57" s="173"/>
      <c r="B57" s="174"/>
      <c r="C57" s="174"/>
      <c r="D57" s="165" t="str">
        <f t="shared" si="0"/>
        <v xml:space="preserve"> </v>
      </c>
      <c r="E57" s="177"/>
      <c r="F57" s="287">
        <v>0</v>
      </c>
      <c r="G57" s="177">
        <v>37</v>
      </c>
      <c r="H57" s="177">
        <v>37</v>
      </c>
      <c r="I57" s="177"/>
      <c r="J57" s="179"/>
      <c r="K57" s="177"/>
      <c r="L57" s="179"/>
      <c r="M57" s="166"/>
      <c r="N57" s="166"/>
      <c r="O57" s="166"/>
      <c r="P57" s="166"/>
      <c r="Q57" s="167"/>
      <c r="R57" s="167"/>
      <c r="S57" s="168"/>
      <c r="V57" s="144">
        <f t="shared" si="7"/>
        <v>0</v>
      </c>
      <c r="W57" s="144">
        <f t="shared" si="8"/>
        <v>0</v>
      </c>
      <c r="X57" s="144">
        <f t="shared" si="18"/>
        <v>0</v>
      </c>
      <c r="Y57" s="144">
        <f t="shared" si="10"/>
        <v>34.464599999999997</v>
      </c>
      <c r="Z57" s="169">
        <f t="shared" si="1"/>
        <v>0</v>
      </c>
      <c r="AA57" s="274">
        <f t="shared" si="2"/>
        <v>0</v>
      </c>
      <c r="AB57" s="169">
        <f t="shared" si="11"/>
        <v>0</v>
      </c>
      <c r="AC57" s="274">
        <f t="shared" si="3"/>
        <v>0</v>
      </c>
      <c r="AD57" s="169">
        <f t="shared" si="4"/>
        <v>0</v>
      </c>
      <c r="AE57" s="274">
        <f t="shared" si="5"/>
        <v>0</v>
      </c>
      <c r="AF57" s="169">
        <f t="shared" si="12"/>
        <v>0</v>
      </c>
      <c r="AG57" s="274">
        <f t="shared" si="6"/>
        <v>0</v>
      </c>
      <c r="AH57" s="169">
        <f t="shared" si="13"/>
        <v>0</v>
      </c>
      <c r="AI57" s="169"/>
      <c r="AJ57" s="169">
        <f t="shared" si="14"/>
        <v>0</v>
      </c>
      <c r="AK57" s="169">
        <f t="shared" si="15"/>
        <v>0</v>
      </c>
      <c r="AL57" s="169"/>
      <c r="AM57" s="169"/>
      <c r="AN57" s="169"/>
      <c r="AQ57" s="169"/>
      <c r="AW57" s="144">
        <f t="shared" si="16"/>
        <v>0</v>
      </c>
    </row>
    <row r="58" spans="1:49" ht="9.75" thickBot="1" x14ac:dyDescent="0.2">
      <c r="A58" s="175"/>
      <c r="B58" s="176"/>
      <c r="C58" s="176"/>
      <c r="D58" s="170" t="str">
        <f t="shared" si="0"/>
        <v xml:space="preserve"> </v>
      </c>
      <c r="E58" s="178"/>
      <c r="F58" s="288">
        <v>0</v>
      </c>
      <c r="G58" s="178">
        <v>37</v>
      </c>
      <c r="H58" s="178">
        <v>37</v>
      </c>
      <c r="I58" s="178"/>
      <c r="J58" s="180"/>
      <c r="K58" s="178"/>
      <c r="L58" s="180"/>
      <c r="M58" s="180"/>
      <c r="N58" s="178"/>
      <c r="O58" s="178"/>
      <c r="P58" s="178"/>
      <c r="Q58" s="171">
        <f>AS58</f>
        <v>0</v>
      </c>
      <c r="R58" s="171">
        <f>AT58</f>
        <v>0</v>
      </c>
      <c r="S58" s="172">
        <f>AU58</f>
        <v>0</v>
      </c>
      <c r="U58" s="144">
        <f>IF(OR(C57=5,C58=5),0,1)</f>
        <v>1</v>
      </c>
      <c r="V58" s="144">
        <f t="shared" si="7"/>
        <v>0</v>
      </c>
      <c r="W58" s="144">
        <f t="shared" si="8"/>
        <v>0</v>
      </c>
      <c r="X58" s="144">
        <f t="shared" si="18"/>
        <v>0</v>
      </c>
      <c r="Y58" s="144">
        <f t="shared" si="10"/>
        <v>34.464599999999997</v>
      </c>
      <c r="Z58" s="169">
        <f t="shared" si="1"/>
        <v>0</v>
      </c>
      <c r="AA58" s="274">
        <f t="shared" si="2"/>
        <v>0</v>
      </c>
      <c r="AB58" s="169">
        <f t="shared" si="11"/>
        <v>0</v>
      </c>
      <c r="AC58" s="274">
        <f t="shared" si="3"/>
        <v>0</v>
      </c>
      <c r="AD58" s="169">
        <f t="shared" si="4"/>
        <v>0</v>
      </c>
      <c r="AE58" s="274">
        <f t="shared" si="5"/>
        <v>0</v>
      </c>
      <c r="AF58" s="169">
        <f t="shared" si="12"/>
        <v>0</v>
      </c>
      <c r="AG58" s="274">
        <f t="shared" si="6"/>
        <v>0</v>
      </c>
      <c r="AH58" s="169">
        <f t="shared" si="13"/>
        <v>0</v>
      </c>
      <c r="AI58" s="169"/>
      <c r="AJ58" s="169">
        <f t="shared" si="14"/>
        <v>0</v>
      </c>
      <c r="AK58" s="169">
        <f t="shared" si="15"/>
        <v>0</v>
      </c>
      <c r="AL58" s="169"/>
      <c r="AM58" s="169">
        <f>AK57*W57+AK58*W58</f>
        <v>0</v>
      </c>
      <c r="AN58" s="169">
        <f>(SUM(AD57:AG57)*W57+SUM(AD58:AG58)*W58)*12*VLOOKUP(C58,JNovergang,3,1)</f>
        <v>0</v>
      </c>
      <c r="AO58" s="169">
        <f>AM58-AN58</f>
        <v>0</v>
      </c>
      <c r="AP58" s="169">
        <f>M58*(100+X58)%</f>
        <v>0</v>
      </c>
      <c r="AQ58" s="274">
        <f>ROUND(M58*F58,2)</f>
        <v>0</v>
      </c>
      <c r="AS58" s="274">
        <f>ROUND((AP58+AQ58)+AM58*(N58/12),0)</f>
        <v>0</v>
      </c>
      <c r="AT58" s="274">
        <f>ROUND(AM58*(O58/12),0)</f>
        <v>0</v>
      </c>
      <c r="AU58" s="274">
        <f>ROUND(AM58*(P58/12)*U58,0)</f>
        <v>0</v>
      </c>
      <c r="AW58" s="144">
        <f t="shared" si="16"/>
        <v>0</v>
      </c>
    </row>
    <row r="59" spans="1:49" x14ac:dyDescent="0.15">
      <c r="A59" s="173"/>
      <c r="B59" s="174"/>
      <c r="C59" s="174"/>
      <c r="D59" s="165" t="str">
        <f t="shared" si="0"/>
        <v xml:space="preserve"> </v>
      </c>
      <c r="E59" s="177"/>
      <c r="F59" s="287">
        <v>0</v>
      </c>
      <c r="G59" s="177">
        <v>37</v>
      </c>
      <c r="H59" s="177">
        <v>37</v>
      </c>
      <c r="I59" s="177"/>
      <c r="J59" s="179"/>
      <c r="K59" s="177"/>
      <c r="L59" s="179"/>
      <c r="M59" s="166"/>
      <c r="N59" s="166"/>
      <c r="O59" s="166"/>
      <c r="P59" s="166"/>
      <c r="Q59" s="167"/>
      <c r="R59" s="167"/>
      <c r="S59" s="168"/>
      <c r="V59" s="144">
        <f t="shared" si="7"/>
        <v>0</v>
      </c>
      <c r="W59" s="144">
        <f t="shared" si="8"/>
        <v>0</v>
      </c>
      <c r="X59" s="144">
        <f t="shared" si="18"/>
        <v>0</v>
      </c>
      <c r="Y59" s="144">
        <f t="shared" si="10"/>
        <v>34.464599999999997</v>
      </c>
      <c r="Z59" s="169">
        <f t="shared" si="1"/>
        <v>0</v>
      </c>
      <c r="AA59" s="274">
        <f t="shared" si="2"/>
        <v>0</v>
      </c>
      <c r="AB59" s="169">
        <f t="shared" si="11"/>
        <v>0</v>
      </c>
      <c r="AC59" s="274">
        <f t="shared" si="3"/>
        <v>0</v>
      </c>
      <c r="AD59" s="169">
        <f t="shared" si="4"/>
        <v>0</v>
      </c>
      <c r="AE59" s="274">
        <f t="shared" si="5"/>
        <v>0</v>
      </c>
      <c r="AF59" s="169">
        <f t="shared" si="12"/>
        <v>0</v>
      </c>
      <c r="AG59" s="274">
        <f t="shared" si="6"/>
        <v>0</v>
      </c>
      <c r="AH59" s="169">
        <f t="shared" si="13"/>
        <v>0</v>
      </c>
      <c r="AI59" s="169"/>
      <c r="AJ59" s="169">
        <f t="shared" si="14"/>
        <v>0</v>
      </c>
      <c r="AK59" s="169">
        <f t="shared" si="15"/>
        <v>0</v>
      </c>
      <c r="AL59" s="169"/>
      <c r="AM59" s="169"/>
      <c r="AN59" s="169"/>
      <c r="AQ59" s="169"/>
      <c r="AW59" s="144">
        <f t="shared" si="16"/>
        <v>0</v>
      </c>
    </row>
    <row r="60" spans="1:49" ht="9.75" thickBot="1" x14ac:dyDescent="0.2">
      <c r="A60" s="175"/>
      <c r="B60" s="176"/>
      <c r="C60" s="176"/>
      <c r="D60" s="170" t="str">
        <f t="shared" si="0"/>
        <v xml:space="preserve"> </v>
      </c>
      <c r="E60" s="178"/>
      <c r="F60" s="288">
        <v>0</v>
      </c>
      <c r="G60" s="178">
        <v>37</v>
      </c>
      <c r="H60" s="178">
        <v>37</v>
      </c>
      <c r="I60" s="178"/>
      <c r="J60" s="180"/>
      <c r="K60" s="178"/>
      <c r="L60" s="180"/>
      <c r="M60" s="180"/>
      <c r="N60" s="178"/>
      <c r="O60" s="178"/>
      <c r="P60" s="178"/>
      <c r="Q60" s="171">
        <f>AS60</f>
        <v>0</v>
      </c>
      <c r="R60" s="171">
        <f>AT60</f>
        <v>0</v>
      </c>
      <c r="S60" s="172">
        <f>AU60</f>
        <v>0</v>
      </c>
      <c r="U60" s="144">
        <f>IF(OR(C59=5,C60=5),0,1)</f>
        <v>1</v>
      </c>
      <c r="V60" s="144">
        <f t="shared" si="7"/>
        <v>0</v>
      </c>
      <c r="W60" s="144">
        <f t="shared" si="8"/>
        <v>0</v>
      </c>
      <c r="X60" s="144">
        <f t="shared" si="18"/>
        <v>0</v>
      </c>
      <c r="Y60" s="144">
        <f t="shared" si="10"/>
        <v>34.464599999999997</v>
      </c>
      <c r="Z60" s="169">
        <f t="shared" si="1"/>
        <v>0</v>
      </c>
      <c r="AA60" s="274">
        <f t="shared" si="2"/>
        <v>0</v>
      </c>
      <c r="AB60" s="169">
        <f t="shared" si="11"/>
        <v>0</v>
      </c>
      <c r="AC60" s="274">
        <f t="shared" si="3"/>
        <v>0</v>
      </c>
      <c r="AD60" s="169">
        <f t="shared" si="4"/>
        <v>0</v>
      </c>
      <c r="AE60" s="274">
        <f t="shared" si="5"/>
        <v>0</v>
      </c>
      <c r="AF60" s="169">
        <f t="shared" si="12"/>
        <v>0</v>
      </c>
      <c r="AG60" s="274">
        <f t="shared" si="6"/>
        <v>0</v>
      </c>
      <c r="AH60" s="169">
        <f t="shared" si="13"/>
        <v>0</v>
      </c>
      <c r="AI60" s="169"/>
      <c r="AJ60" s="169">
        <f t="shared" si="14"/>
        <v>0</v>
      </c>
      <c r="AK60" s="169">
        <f t="shared" si="15"/>
        <v>0</v>
      </c>
      <c r="AL60" s="169"/>
      <c r="AM60" s="169">
        <f>AK59*W59+AK60*W60</f>
        <v>0</v>
      </c>
      <c r="AN60" s="169">
        <f>(SUM(AD59:AG59)*W59+SUM(AD60:AG60)*W60)*12*VLOOKUP(C60,JNovergang,3,1)</f>
        <v>0</v>
      </c>
      <c r="AO60" s="169">
        <f>AM60-AN60</f>
        <v>0</v>
      </c>
      <c r="AP60" s="169">
        <f>M60*(100+X60)%</f>
        <v>0</v>
      </c>
      <c r="AQ60" s="274">
        <f>ROUND(M60*F60,2)</f>
        <v>0</v>
      </c>
      <c r="AS60" s="274">
        <f>ROUND((AP60+AQ60)+AM60*(N60/12),0)</f>
        <v>0</v>
      </c>
      <c r="AT60" s="274">
        <f>ROUND(AM60*(O60/12),0)</f>
        <v>0</v>
      </c>
      <c r="AU60" s="274">
        <f>ROUND(AM60*(P60/12)*U60,0)</f>
        <v>0</v>
      </c>
      <c r="AW60" s="144">
        <f t="shared" si="16"/>
        <v>0</v>
      </c>
    </row>
    <row r="61" spans="1:49" x14ac:dyDescent="0.15">
      <c r="A61" s="173"/>
      <c r="B61" s="174"/>
      <c r="C61" s="174"/>
      <c r="D61" s="165" t="str">
        <f t="shared" si="0"/>
        <v xml:space="preserve"> </v>
      </c>
      <c r="E61" s="177"/>
      <c r="F61" s="287">
        <v>0</v>
      </c>
      <c r="G61" s="177">
        <v>37</v>
      </c>
      <c r="H61" s="177">
        <v>37</v>
      </c>
      <c r="I61" s="177"/>
      <c r="J61" s="179"/>
      <c r="K61" s="177"/>
      <c r="L61" s="179"/>
      <c r="M61" s="166"/>
      <c r="N61" s="166"/>
      <c r="O61" s="166"/>
      <c r="P61" s="166"/>
      <c r="Q61" s="167"/>
      <c r="R61" s="167"/>
      <c r="S61" s="168"/>
      <c r="V61" s="144">
        <f t="shared" si="7"/>
        <v>0</v>
      </c>
      <c r="W61" s="144">
        <f t="shared" si="8"/>
        <v>0</v>
      </c>
      <c r="X61" s="144">
        <f t="shared" si="18"/>
        <v>0</v>
      </c>
      <c r="Y61" s="144">
        <f t="shared" si="10"/>
        <v>34.464599999999997</v>
      </c>
      <c r="Z61" s="169">
        <f t="shared" si="1"/>
        <v>0</v>
      </c>
      <c r="AA61" s="274">
        <f t="shared" si="2"/>
        <v>0</v>
      </c>
      <c r="AB61" s="169">
        <f t="shared" si="11"/>
        <v>0</v>
      </c>
      <c r="AC61" s="274">
        <f t="shared" si="3"/>
        <v>0</v>
      </c>
      <c r="AD61" s="169">
        <f t="shared" si="4"/>
        <v>0</v>
      </c>
      <c r="AE61" s="274">
        <f t="shared" si="5"/>
        <v>0</v>
      </c>
      <c r="AF61" s="169">
        <f t="shared" si="12"/>
        <v>0</v>
      </c>
      <c r="AG61" s="274">
        <f t="shared" si="6"/>
        <v>0</v>
      </c>
      <c r="AH61" s="169">
        <f t="shared" si="13"/>
        <v>0</v>
      </c>
      <c r="AI61" s="169"/>
      <c r="AJ61" s="169">
        <f t="shared" si="14"/>
        <v>0</v>
      </c>
      <c r="AK61" s="169">
        <f t="shared" si="15"/>
        <v>0</v>
      </c>
      <c r="AL61" s="169"/>
      <c r="AM61" s="169"/>
      <c r="AN61" s="169"/>
      <c r="AQ61" s="169"/>
      <c r="AW61" s="144">
        <f t="shared" si="16"/>
        <v>0</v>
      </c>
    </row>
    <row r="62" spans="1:49" ht="9.75" thickBot="1" x14ac:dyDescent="0.2">
      <c r="A62" s="175"/>
      <c r="B62" s="176"/>
      <c r="C62" s="176"/>
      <c r="D62" s="170" t="str">
        <f t="shared" si="0"/>
        <v xml:space="preserve"> </v>
      </c>
      <c r="E62" s="178"/>
      <c r="F62" s="288">
        <v>0</v>
      </c>
      <c r="G62" s="178">
        <v>37</v>
      </c>
      <c r="H62" s="178">
        <v>37</v>
      </c>
      <c r="I62" s="178"/>
      <c r="J62" s="180"/>
      <c r="K62" s="178"/>
      <c r="L62" s="180"/>
      <c r="M62" s="180"/>
      <c r="N62" s="178"/>
      <c r="O62" s="178"/>
      <c r="P62" s="178"/>
      <c r="Q62" s="171">
        <f>AS62</f>
        <v>0</v>
      </c>
      <c r="R62" s="171">
        <f>AT62</f>
        <v>0</v>
      </c>
      <c r="S62" s="172">
        <f>AU62</f>
        <v>0</v>
      </c>
      <c r="U62" s="144">
        <f>IF(OR(C61=5,C62=5),0,1)</f>
        <v>1</v>
      </c>
      <c r="V62" s="144">
        <f t="shared" si="7"/>
        <v>0</v>
      </c>
      <c r="W62" s="144">
        <f t="shared" si="8"/>
        <v>0</v>
      </c>
      <c r="X62" s="144">
        <f t="shared" si="18"/>
        <v>0</v>
      </c>
      <c r="Y62" s="144">
        <f t="shared" si="10"/>
        <v>34.464599999999997</v>
      </c>
      <c r="Z62" s="169">
        <f t="shared" si="1"/>
        <v>0</v>
      </c>
      <c r="AA62" s="274">
        <f t="shared" si="2"/>
        <v>0</v>
      </c>
      <c r="AB62" s="169">
        <f t="shared" si="11"/>
        <v>0</v>
      </c>
      <c r="AC62" s="274">
        <f t="shared" si="3"/>
        <v>0</v>
      </c>
      <c r="AD62" s="169">
        <f t="shared" si="4"/>
        <v>0</v>
      </c>
      <c r="AE62" s="274">
        <f t="shared" si="5"/>
        <v>0</v>
      </c>
      <c r="AF62" s="169">
        <f t="shared" si="12"/>
        <v>0</v>
      </c>
      <c r="AG62" s="274">
        <f t="shared" si="6"/>
        <v>0</v>
      </c>
      <c r="AH62" s="169">
        <f t="shared" si="13"/>
        <v>0</v>
      </c>
      <c r="AI62" s="169"/>
      <c r="AJ62" s="169">
        <f t="shared" si="14"/>
        <v>0</v>
      </c>
      <c r="AK62" s="169">
        <f t="shared" si="15"/>
        <v>0</v>
      </c>
      <c r="AL62" s="169"/>
      <c r="AM62" s="169">
        <f>AK61*W61+AK62*W62</f>
        <v>0</v>
      </c>
      <c r="AN62" s="169">
        <f>(SUM(AD61:AG61)*W61+SUM(AD62:AG62)*W62)*12*VLOOKUP(C62,JNovergang,3,1)</f>
        <v>0</v>
      </c>
      <c r="AO62" s="169">
        <f>AM62-AN62</f>
        <v>0</v>
      </c>
      <c r="AP62" s="169">
        <f>M62*(100+X62)%</f>
        <v>0</v>
      </c>
      <c r="AQ62" s="274">
        <f>ROUND(M62*F62,2)</f>
        <v>0</v>
      </c>
      <c r="AS62" s="274">
        <f>ROUND((AP62+AQ62)+AM62*(N62/12),0)</f>
        <v>0</v>
      </c>
      <c r="AT62" s="274">
        <f>ROUND(AM62*(O62/12),0)</f>
        <v>0</v>
      </c>
      <c r="AU62" s="274">
        <f>ROUND(AM62*(P62/12)*U62,0)</f>
        <v>0</v>
      </c>
      <c r="AW62" s="144">
        <f t="shared" si="16"/>
        <v>0</v>
      </c>
    </row>
    <row r="63" spans="1:49" x14ac:dyDescent="0.15">
      <c r="A63" s="173"/>
      <c r="B63" s="174"/>
      <c r="C63" s="174"/>
      <c r="D63" s="165" t="str">
        <f t="shared" si="0"/>
        <v xml:space="preserve"> </v>
      </c>
      <c r="E63" s="177"/>
      <c r="F63" s="287">
        <v>0</v>
      </c>
      <c r="G63" s="177">
        <v>37</v>
      </c>
      <c r="H63" s="177">
        <v>37</v>
      </c>
      <c r="I63" s="177"/>
      <c r="J63" s="179"/>
      <c r="K63" s="177"/>
      <c r="L63" s="179"/>
      <c r="M63" s="166"/>
      <c r="N63" s="166"/>
      <c r="O63" s="166"/>
      <c r="P63" s="166"/>
      <c r="Q63" s="167"/>
      <c r="R63" s="167"/>
      <c r="S63" s="168"/>
      <c r="V63" s="144">
        <f t="shared" si="7"/>
        <v>0</v>
      </c>
      <c r="W63" s="144">
        <f t="shared" si="8"/>
        <v>0</v>
      </c>
      <c r="X63" s="144">
        <f t="shared" si="18"/>
        <v>0</v>
      </c>
      <c r="Y63" s="144">
        <f t="shared" si="10"/>
        <v>34.464599999999997</v>
      </c>
      <c r="Z63" s="169">
        <f t="shared" si="1"/>
        <v>0</v>
      </c>
      <c r="AA63" s="274">
        <f t="shared" si="2"/>
        <v>0</v>
      </c>
      <c r="AB63" s="169">
        <f t="shared" si="11"/>
        <v>0</v>
      </c>
      <c r="AC63" s="274">
        <f t="shared" si="3"/>
        <v>0</v>
      </c>
      <c r="AD63" s="169">
        <f t="shared" si="4"/>
        <v>0</v>
      </c>
      <c r="AE63" s="274">
        <f t="shared" si="5"/>
        <v>0</v>
      </c>
      <c r="AF63" s="169">
        <f t="shared" si="12"/>
        <v>0</v>
      </c>
      <c r="AG63" s="274">
        <f t="shared" si="6"/>
        <v>0</v>
      </c>
      <c r="AH63" s="169">
        <f t="shared" si="13"/>
        <v>0</v>
      </c>
      <c r="AI63" s="169"/>
      <c r="AJ63" s="169">
        <f t="shared" si="14"/>
        <v>0</v>
      </c>
      <c r="AK63" s="169">
        <f t="shared" si="15"/>
        <v>0</v>
      </c>
      <c r="AL63" s="169"/>
      <c r="AM63" s="169"/>
      <c r="AN63" s="169"/>
      <c r="AQ63" s="169"/>
      <c r="AW63" s="144">
        <f t="shared" si="16"/>
        <v>0</v>
      </c>
    </row>
    <row r="64" spans="1:49" ht="9.75" thickBot="1" x14ac:dyDescent="0.2">
      <c r="A64" s="175"/>
      <c r="B64" s="176"/>
      <c r="C64" s="176"/>
      <c r="D64" s="170" t="str">
        <f t="shared" si="0"/>
        <v xml:space="preserve"> </v>
      </c>
      <c r="E64" s="178"/>
      <c r="F64" s="288">
        <v>0</v>
      </c>
      <c r="G64" s="178">
        <v>37</v>
      </c>
      <c r="H64" s="178">
        <v>37</v>
      </c>
      <c r="I64" s="178"/>
      <c r="J64" s="180"/>
      <c r="K64" s="178"/>
      <c r="L64" s="180"/>
      <c r="M64" s="180"/>
      <c r="N64" s="178"/>
      <c r="O64" s="178"/>
      <c r="P64" s="178"/>
      <c r="Q64" s="171">
        <f>AS64</f>
        <v>0</v>
      </c>
      <c r="R64" s="171">
        <f>AT64</f>
        <v>0</v>
      </c>
      <c r="S64" s="172">
        <f>AU64</f>
        <v>0</v>
      </c>
      <c r="U64" s="144">
        <f>IF(OR(C63=5,C64=5),0,1)</f>
        <v>1</v>
      </c>
      <c r="V64" s="144">
        <f t="shared" si="7"/>
        <v>0</v>
      </c>
      <c r="W64" s="144">
        <f t="shared" si="8"/>
        <v>0</v>
      </c>
      <c r="X64" s="144">
        <f t="shared" si="18"/>
        <v>0</v>
      </c>
      <c r="Y64" s="144">
        <f t="shared" si="10"/>
        <v>34.464599999999997</v>
      </c>
      <c r="Z64" s="169">
        <f t="shared" si="1"/>
        <v>0</v>
      </c>
      <c r="AA64" s="274">
        <f t="shared" si="2"/>
        <v>0</v>
      </c>
      <c r="AB64" s="169">
        <f t="shared" si="11"/>
        <v>0</v>
      </c>
      <c r="AC64" s="274">
        <f t="shared" si="3"/>
        <v>0</v>
      </c>
      <c r="AD64" s="169">
        <f t="shared" si="4"/>
        <v>0</v>
      </c>
      <c r="AE64" s="274">
        <f t="shared" si="5"/>
        <v>0</v>
      </c>
      <c r="AF64" s="169">
        <f t="shared" si="12"/>
        <v>0</v>
      </c>
      <c r="AG64" s="274">
        <f t="shared" si="6"/>
        <v>0</v>
      </c>
      <c r="AH64" s="169">
        <f t="shared" si="13"/>
        <v>0</v>
      </c>
      <c r="AI64" s="169"/>
      <c r="AJ64" s="169">
        <f t="shared" si="14"/>
        <v>0</v>
      </c>
      <c r="AK64" s="169">
        <f t="shared" si="15"/>
        <v>0</v>
      </c>
      <c r="AL64" s="169"/>
      <c r="AM64" s="169">
        <f>AK63*W63+AK64*W64</f>
        <v>0</v>
      </c>
      <c r="AN64" s="169">
        <f>(SUM(AD63:AG63)*W63+SUM(AD64:AG64)*W64)*12*VLOOKUP(C64,JNovergang,3,1)</f>
        <v>0</v>
      </c>
      <c r="AO64" s="169">
        <f>AM64-AN64</f>
        <v>0</v>
      </c>
      <c r="AP64" s="169">
        <f>M64*(100+X64)%</f>
        <v>0</v>
      </c>
      <c r="AQ64" s="274">
        <f>ROUND(M64*F64,2)</f>
        <v>0</v>
      </c>
      <c r="AS64" s="274">
        <f>ROUND((AP64+AQ64)+AM64*(N64/12),0)</f>
        <v>0</v>
      </c>
      <c r="AT64" s="274">
        <f>ROUND(AM64*(O64/12),0)</f>
        <v>0</v>
      </c>
      <c r="AU64" s="274">
        <f>ROUND(AM64*(P64/12)*U64,0)</f>
        <v>0</v>
      </c>
      <c r="AW64" s="144">
        <f t="shared" si="16"/>
        <v>0</v>
      </c>
    </row>
    <row r="65" spans="1:49" x14ac:dyDescent="0.15">
      <c r="A65" s="173"/>
      <c r="B65" s="174"/>
      <c r="C65" s="174"/>
      <c r="D65" s="165" t="str">
        <f t="shared" si="0"/>
        <v xml:space="preserve"> </v>
      </c>
      <c r="E65" s="177"/>
      <c r="F65" s="287">
        <v>0</v>
      </c>
      <c r="G65" s="177">
        <v>37</v>
      </c>
      <c r="H65" s="177">
        <v>37</v>
      </c>
      <c r="I65" s="177"/>
      <c r="J65" s="179"/>
      <c r="K65" s="177"/>
      <c r="L65" s="179"/>
      <c r="M65" s="166"/>
      <c r="N65" s="166"/>
      <c r="O65" s="166"/>
      <c r="P65" s="166"/>
      <c r="Q65" s="167"/>
      <c r="R65" s="167"/>
      <c r="S65" s="168"/>
      <c r="V65" s="144">
        <f t="shared" si="7"/>
        <v>0</v>
      </c>
      <c r="W65" s="144">
        <f t="shared" si="8"/>
        <v>0</v>
      </c>
      <c r="X65" s="144">
        <f t="shared" si="18"/>
        <v>0</v>
      </c>
      <c r="Y65" s="144">
        <f t="shared" si="10"/>
        <v>34.464599999999997</v>
      </c>
      <c r="Z65" s="169">
        <f t="shared" si="1"/>
        <v>0</v>
      </c>
      <c r="AA65" s="274">
        <f t="shared" si="2"/>
        <v>0</v>
      </c>
      <c r="AB65" s="169">
        <f t="shared" si="11"/>
        <v>0</v>
      </c>
      <c r="AC65" s="274">
        <f t="shared" si="3"/>
        <v>0</v>
      </c>
      <c r="AD65" s="169">
        <f t="shared" si="4"/>
        <v>0</v>
      </c>
      <c r="AE65" s="274">
        <f t="shared" si="5"/>
        <v>0</v>
      </c>
      <c r="AF65" s="169">
        <f t="shared" si="12"/>
        <v>0</v>
      </c>
      <c r="AG65" s="274">
        <f t="shared" si="6"/>
        <v>0</v>
      </c>
      <c r="AH65" s="169">
        <f t="shared" si="13"/>
        <v>0</v>
      </c>
      <c r="AI65" s="169"/>
      <c r="AJ65" s="169">
        <f t="shared" si="14"/>
        <v>0</v>
      </c>
      <c r="AK65" s="169">
        <f t="shared" si="15"/>
        <v>0</v>
      </c>
      <c r="AL65" s="169"/>
      <c r="AM65" s="169"/>
      <c r="AN65" s="169"/>
      <c r="AQ65" s="169"/>
      <c r="AW65" s="144">
        <f t="shared" si="16"/>
        <v>0</v>
      </c>
    </row>
    <row r="66" spans="1:49" ht="9.75" thickBot="1" x14ac:dyDescent="0.2">
      <c r="A66" s="175"/>
      <c r="B66" s="176"/>
      <c r="C66" s="176"/>
      <c r="D66" s="170" t="str">
        <f t="shared" si="0"/>
        <v xml:space="preserve"> </v>
      </c>
      <c r="E66" s="178"/>
      <c r="F66" s="288">
        <v>0</v>
      </c>
      <c r="G66" s="178">
        <v>37</v>
      </c>
      <c r="H66" s="178">
        <v>37</v>
      </c>
      <c r="I66" s="178"/>
      <c r="J66" s="180"/>
      <c r="K66" s="178"/>
      <c r="L66" s="180"/>
      <c r="M66" s="180"/>
      <c r="N66" s="178"/>
      <c r="O66" s="178"/>
      <c r="P66" s="178"/>
      <c r="Q66" s="171">
        <f>AS66</f>
        <v>0</v>
      </c>
      <c r="R66" s="171">
        <f>AT66</f>
        <v>0</v>
      </c>
      <c r="S66" s="172">
        <f>AU66</f>
        <v>0</v>
      </c>
      <c r="U66" s="144">
        <f>IF(OR(C65=5,C66=5),0,1)</f>
        <v>1</v>
      </c>
      <c r="V66" s="144">
        <f t="shared" si="7"/>
        <v>0</v>
      </c>
      <c r="W66" s="144">
        <f t="shared" si="8"/>
        <v>0</v>
      </c>
      <c r="X66" s="144">
        <f t="shared" si="18"/>
        <v>0</v>
      </c>
      <c r="Y66" s="144">
        <f t="shared" si="10"/>
        <v>34.464599999999997</v>
      </c>
      <c r="Z66" s="169">
        <f t="shared" si="1"/>
        <v>0</v>
      </c>
      <c r="AA66" s="274">
        <f t="shared" si="2"/>
        <v>0</v>
      </c>
      <c r="AB66" s="169">
        <f t="shared" si="11"/>
        <v>0</v>
      </c>
      <c r="AC66" s="274">
        <f t="shared" si="3"/>
        <v>0</v>
      </c>
      <c r="AD66" s="169">
        <f t="shared" si="4"/>
        <v>0</v>
      </c>
      <c r="AE66" s="274">
        <f t="shared" si="5"/>
        <v>0</v>
      </c>
      <c r="AF66" s="169">
        <f t="shared" si="12"/>
        <v>0</v>
      </c>
      <c r="AG66" s="274">
        <f t="shared" si="6"/>
        <v>0</v>
      </c>
      <c r="AH66" s="169">
        <f t="shared" si="13"/>
        <v>0</v>
      </c>
      <c r="AI66" s="169"/>
      <c r="AJ66" s="169">
        <f t="shared" si="14"/>
        <v>0</v>
      </c>
      <c r="AK66" s="169">
        <f t="shared" si="15"/>
        <v>0</v>
      </c>
      <c r="AL66" s="169"/>
      <c r="AM66" s="169">
        <f>AK65*W65+AK66*W66</f>
        <v>0</v>
      </c>
      <c r="AN66" s="169">
        <f>(SUM(AD65:AG65)*W65+SUM(AD66:AG66)*W66)*12*VLOOKUP(C66,JNovergang,3,1)</f>
        <v>0</v>
      </c>
      <c r="AO66" s="169">
        <f>AM66-AN66</f>
        <v>0</v>
      </c>
      <c r="AP66" s="169">
        <f>M66*(100+X66)%</f>
        <v>0</v>
      </c>
      <c r="AQ66" s="274">
        <f>ROUND(M66*F66,2)</f>
        <v>0</v>
      </c>
      <c r="AS66" s="274">
        <f>ROUND((AP66+AQ66)+AM66*(N66/12),0)</f>
        <v>0</v>
      </c>
      <c r="AT66" s="274">
        <f>ROUND(AM66*(O66/12),0)</f>
        <v>0</v>
      </c>
      <c r="AU66" s="274">
        <f>ROUND(AM66*(P66/12)*U66,0)</f>
        <v>0</v>
      </c>
      <c r="AW66" s="144">
        <f t="shared" si="16"/>
        <v>0</v>
      </c>
    </row>
    <row r="67" spans="1:49" x14ac:dyDescent="0.15">
      <c r="A67" s="173"/>
      <c r="B67" s="174"/>
      <c r="C67" s="174"/>
      <c r="D67" s="165" t="str">
        <f t="shared" si="0"/>
        <v xml:space="preserve"> </v>
      </c>
      <c r="E67" s="177"/>
      <c r="F67" s="287">
        <v>0</v>
      </c>
      <c r="G67" s="177">
        <v>37</v>
      </c>
      <c r="H67" s="177">
        <v>37</v>
      </c>
      <c r="I67" s="177"/>
      <c r="J67" s="179"/>
      <c r="K67" s="177"/>
      <c r="L67" s="179"/>
      <c r="M67" s="166"/>
      <c r="N67" s="166"/>
      <c r="O67" s="166"/>
      <c r="P67" s="166"/>
      <c r="Q67" s="167"/>
      <c r="R67" s="167"/>
      <c r="S67" s="168"/>
      <c r="V67" s="144">
        <f t="shared" si="7"/>
        <v>0</v>
      </c>
      <c r="W67" s="144">
        <f t="shared" si="8"/>
        <v>0</v>
      </c>
      <c r="X67" s="144">
        <f t="shared" si="18"/>
        <v>0</v>
      </c>
      <c r="Y67" s="144">
        <f t="shared" si="10"/>
        <v>34.464599999999997</v>
      </c>
      <c r="Z67" s="169">
        <f t="shared" si="1"/>
        <v>0</v>
      </c>
      <c r="AA67" s="274">
        <f t="shared" si="2"/>
        <v>0</v>
      </c>
      <c r="AB67" s="169">
        <f t="shared" si="11"/>
        <v>0</v>
      </c>
      <c r="AC67" s="274">
        <f t="shared" si="3"/>
        <v>0</v>
      </c>
      <c r="AD67" s="169">
        <f t="shared" si="4"/>
        <v>0</v>
      </c>
      <c r="AE67" s="274">
        <f t="shared" si="5"/>
        <v>0</v>
      </c>
      <c r="AF67" s="169">
        <f t="shared" si="12"/>
        <v>0</v>
      </c>
      <c r="AG67" s="274">
        <f t="shared" si="6"/>
        <v>0</v>
      </c>
      <c r="AH67" s="169">
        <f t="shared" si="13"/>
        <v>0</v>
      </c>
      <c r="AI67" s="169"/>
      <c r="AJ67" s="169">
        <f t="shared" si="14"/>
        <v>0</v>
      </c>
      <c r="AK67" s="169">
        <f t="shared" si="15"/>
        <v>0</v>
      </c>
      <c r="AL67" s="169"/>
      <c r="AM67" s="169"/>
      <c r="AN67" s="169"/>
      <c r="AQ67" s="169"/>
      <c r="AW67" s="144">
        <f t="shared" si="16"/>
        <v>0</v>
      </c>
    </row>
    <row r="68" spans="1:49" ht="9.75" thickBot="1" x14ac:dyDescent="0.2">
      <c r="A68" s="175"/>
      <c r="B68" s="176"/>
      <c r="C68" s="176"/>
      <c r="D68" s="170" t="str">
        <f t="shared" si="0"/>
        <v xml:space="preserve"> </v>
      </c>
      <c r="E68" s="178"/>
      <c r="F68" s="288">
        <v>0</v>
      </c>
      <c r="G68" s="178">
        <v>37</v>
      </c>
      <c r="H68" s="178">
        <v>37</v>
      </c>
      <c r="I68" s="178"/>
      <c r="J68" s="180"/>
      <c r="K68" s="178"/>
      <c r="L68" s="180"/>
      <c r="M68" s="180"/>
      <c r="N68" s="178"/>
      <c r="O68" s="178"/>
      <c r="P68" s="178"/>
      <c r="Q68" s="171">
        <f>AS68</f>
        <v>0</v>
      </c>
      <c r="R68" s="171">
        <f>AT68</f>
        <v>0</v>
      </c>
      <c r="S68" s="172">
        <f>AU68</f>
        <v>0</v>
      </c>
      <c r="U68" s="144">
        <f>IF(OR(C67=5,C68=5),0,1)</f>
        <v>1</v>
      </c>
      <c r="V68" s="144">
        <f t="shared" si="7"/>
        <v>0</v>
      </c>
      <c r="W68" s="144">
        <f t="shared" si="8"/>
        <v>0</v>
      </c>
      <c r="X68" s="144">
        <f t="shared" si="18"/>
        <v>0</v>
      </c>
      <c r="Y68" s="144">
        <f t="shared" si="10"/>
        <v>34.464599999999997</v>
      </c>
      <c r="Z68" s="169">
        <f t="shared" si="1"/>
        <v>0</v>
      </c>
      <c r="AA68" s="274">
        <f t="shared" si="2"/>
        <v>0</v>
      </c>
      <c r="AB68" s="169">
        <f t="shared" si="11"/>
        <v>0</v>
      </c>
      <c r="AC68" s="274">
        <f t="shared" si="3"/>
        <v>0</v>
      </c>
      <c r="AD68" s="169">
        <f t="shared" si="4"/>
        <v>0</v>
      </c>
      <c r="AE68" s="274">
        <f t="shared" si="5"/>
        <v>0</v>
      </c>
      <c r="AF68" s="169">
        <f t="shared" si="12"/>
        <v>0</v>
      </c>
      <c r="AG68" s="274">
        <f t="shared" si="6"/>
        <v>0</v>
      </c>
      <c r="AH68" s="169">
        <f t="shared" si="13"/>
        <v>0</v>
      </c>
      <c r="AI68" s="169"/>
      <c r="AJ68" s="169">
        <f t="shared" si="14"/>
        <v>0</v>
      </c>
      <c r="AK68" s="169">
        <f t="shared" si="15"/>
        <v>0</v>
      </c>
      <c r="AL68" s="169"/>
      <c r="AM68" s="169">
        <f>AK67*W67+AK68*W68</f>
        <v>0</v>
      </c>
      <c r="AN68" s="169">
        <f>(SUM(AD67:AG67)*W67+SUM(AD68:AG68)*W68)*12*VLOOKUP(C68,JNovergang,3,1)</f>
        <v>0</v>
      </c>
      <c r="AO68" s="169">
        <f>AM68-AN68</f>
        <v>0</v>
      </c>
      <c r="AP68" s="169">
        <f>M68*(100+X68)%</f>
        <v>0</v>
      </c>
      <c r="AQ68" s="274">
        <f>ROUND(M68*F68,2)</f>
        <v>0</v>
      </c>
      <c r="AS68" s="274">
        <f>ROUND((AP68+AQ68)+AM68*(N68/12),0)</f>
        <v>0</v>
      </c>
      <c r="AT68" s="274">
        <f>ROUND(AM68*(O68/12),0)</f>
        <v>0</v>
      </c>
      <c r="AU68" s="274">
        <f>ROUND(AM68*(P68/12)*U68,0)</f>
        <v>0</v>
      </c>
      <c r="AW68" s="144">
        <f t="shared" si="16"/>
        <v>0</v>
      </c>
    </row>
    <row r="69" spans="1:49" x14ac:dyDescent="0.15">
      <c r="A69" s="173"/>
      <c r="B69" s="174"/>
      <c r="C69" s="174"/>
      <c r="D69" s="165" t="str">
        <f t="shared" si="0"/>
        <v xml:space="preserve"> </v>
      </c>
      <c r="E69" s="177"/>
      <c r="F69" s="287">
        <v>0</v>
      </c>
      <c r="G69" s="177">
        <v>37</v>
      </c>
      <c r="H69" s="177">
        <v>37</v>
      </c>
      <c r="I69" s="177"/>
      <c r="J69" s="179"/>
      <c r="K69" s="177"/>
      <c r="L69" s="179"/>
      <c r="M69" s="166"/>
      <c r="N69" s="166"/>
      <c r="O69" s="166"/>
      <c r="P69" s="166"/>
      <c r="Q69" s="167"/>
      <c r="R69" s="167"/>
      <c r="S69" s="168"/>
      <c r="V69" s="144">
        <f t="shared" si="7"/>
        <v>0</v>
      </c>
      <c r="W69" s="144">
        <f t="shared" si="8"/>
        <v>0</v>
      </c>
      <c r="X69" s="144">
        <f t="shared" si="18"/>
        <v>0</v>
      </c>
      <c r="Y69" s="144">
        <f t="shared" si="10"/>
        <v>34.464599999999997</v>
      </c>
      <c r="Z69" s="169">
        <f t="shared" si="1"/>
        <v>0</v>
      </c>
      <c r="AA69" s="274">
        <f t="shared" si="2"/>
        <v>0</v>
      </c>
      <c r="AB69" s="169">
        <f t="shared" si="11"/>
        <v>0</v>
      </c>
      <c r="AC69" s="274">
        <f t="shared" si="3"/>
        <v>0</v>
      </c>
      <c r="AD69" s="169">
        <f t="shared" si="4"/>
        <v>0</v>
      </c>
      <c r="AE69" s="274">
        <f t="shared" si="5"/>
        <v>0</v>
      </c>
      <c r="AF69" s="169">
        <f t="shared" si="12"/>
        <v>0</v>
      </c>
      <c r="AG69" s="274">
        <f t="shared" si="6"/>
        <v>0</v>
      </c>
      <c r="AH69" s="169">
        <f t="shared" si="13"/>
        <v>0</v>
      </c>
      <c r="AI69" s="169"/>
      <c r="AJ69" s="169">
        <f t="shared" si="14"/>
        <v>0</v>
      </c>
      <c r="AK69" s="169">
        <f t="shared" si="15"/>
        <v>0</v>
      </c>
      <c r="AL69" s="169"/>
      <c r="AM69" s="169"/>
      <c r="AN69" s="169"/>
      <c r="AQ69" s="169"/>
      <c r="AW69" s="144">
        <f t="shared" si="16"/>
        <v>0</v>
      </c>
    </row>
    <row r="70" spans="1:49" ht="9.75" thickBot="1" x14ac:dyDescent="0.2">
      <c r="A70" s="175"/>
      <c r="B70" s="176"/>
      <c r="C70" s="176"/>
      <c r="D70" s="170" t="str">
        <f t="shared" si="0"/>
        <v xml:space="preserve"> </v>
      </c>
      <c r="E70" s="178"/>
      <c r="F70" s="288">
        <v>0</v>
      </c>
      <c r="G70" s="178">
        <v>37</v>
      </c>
      <c r="H70" s="178">
        <v>37</v>
      </c>
      <c r="I70" s="178"/>
      <c r="J70" s="180"/>
      <c r="K70" s="178"/>
      <c r="L70" s="180"/>
      <c r="M70" s="180"/>
      <c r="N70" s="178"/>
      <c r="O70" s="178"/>
      <c r="P70" s="178"/>
      <c r="Q70" s="171">
        <f>AS70</f>
        <v>0</v>
      </c>
      <c r="R70" s="171">
        <f>AT70</f>
        <v>0</v>
      </c>
      <c r="S70" s="172">
        <f>AU70</f>
        <v>0</v>
      </c>
      <c r="U70" s="144">
        <f>IF(OR(C69=5,C70=5),0,1)</f>
        <v>1</v>
      </c>
      <c r="V70" s="144">
        <f t="shared" si="7"/>
        <v>0</v>
      </c>
      <c r="W70" s="144">
        <f t="shared" si="8"/>
        <v>0</v>
      </c>
      <c r="X70" s="144">
        <f t="shared" si="18"/>
        <v>0</v>
      </c>
      <c r="Y70" s="144">
        <f t="shared" si="10"/>
        <v>34.464599999999997</v>
      </c>
      <c r="Z70" s="169">
        <f t="shared" si="1"/>
        <v>0</v>
      </c>
      <c r="AA70" s="274">
        <f t="shared" si="2"/>
        <v>0</v>
      </c>
      <c r="AB70" s="169">
        <f t="shared" si="11"/>
        <v>0</v>
      </c>
      <c r="AC70" s="274">
        <f t="shared" si="3"/>
        <v>0</v>
      </c>
      <c r="AD70" s="169">
        <f t="shared" si="4"/>
        <v>0</v>
      </c>
      <c r="AE70" s="274">
        <f t="shared" si="5"/>
        <v>0</v>
      </c>
      <c r="AF70" s="169">
        <f t="shared" si="12"/>
        <v>0</v>
      </c>
      <c r="AG70" s="274">
        <f t="shared" si="6"/>
        <v>0</v>
      </c>
      <c r="AH70" s="169">
        <f t="shared" si="13"/>
        <v>0</v>
      </c>
      <c r="AI70" s="169"/>
      <c r="AJ70" s="169">
        <f t="shared" si="14"/>
        <v>0</v>
      </c>
      <c r="AK70" s="169">
        <f t="shared" si="15"/>
        <v>0</v>
      </c>
      <c r="AL70" s="169"/>
      <c r="AM70" s="169">
        <f>AK69*W69+AK70*W70</f>
        <v>0</v>
      </c>
      <c r="AN70" s="169">
        <f>(SUM(AD69:AG69)*W69+SUM(AD70:AG70)*W70)*12*VLOOKUP(C70,JNovergang,3,1)</f>
        <v>0</v>
      </c>
      <c r="AO70" s="169">
        <f>AM70-AN70</f>
        <v>0</v>
      </c>
      <c r="AP70" s="169">
        <f>M70*(100+X70)%</f>
        <v>0</v>
      </c>
      <c r="AQ70" s="274">
        <f>ROUND(M70*F70,2)</f>
        <v>0</v>
      </c>
      <c r="AS70" s="274">
        <f>ROUND((AP70+AQ70)+AM70*(N70/12),0)</f>
        <v>0</v>
      </c>
      <c r="AT70" s="274">
        <f>ROUND(AM70*(O70/12),0)</f>
        <v>0</v>
      </c>
      <c r="AU70" s="274">
        <f>ROUND(AM70*(P70/12)*U70,0)</f>
        <v>0</v>
      </c>
      <c r="AW70" s="144">
        <f t="shared" si="16"/>
        <v>0</v>
      </c>
    </row>
    <row r="71" spans="1:49" x14ac:dyDescent="0.15">
      <c r="A71" s="173"/>
      <c r="B71" s="174"/>
      <c r="C71" s="174"/>
      <c r="D71" s="165" t="str">
        <f t="shared" si="0"/>
        <v xml:space="preserve"> </v>
      </c>
      <c r="E71" s="177"/>
      <c r="F71" s="287">
        <v>0</v>
      </c>
      <c r="G71" s="177">
        <v>37</v>
      </c>
      <c r="H71" s="177">
        <v>37</v>
      </c>
      <c r="I71" s="177"/>
      <c r="J71" s="179"/>
      <c r="K71" s="177"/>
      <c r="L71" s="179"/>
      <c r="M71" s="166"/>
      <c r="N71" s="166"/>
      <c r="O71" s="166"/>
      <c r="P71" s="166"/>
      <c r="Q71" s="167"/>
      <c r="R71" s="167"/>
      <c r="S71" s="168"/>
      <c r="V71" s="144">
        <f t="shared" si="7"/>
        <v>0</v>
      </c>
      <c r="W71" s="144">
        <f t="shared" si="8"/>
        <v>0</v>
      </c>
      <c r="X71" s="144">
        <f t="shared" si="18"/>
        <v>0</v>
      </c>
      <c r="Y71" s="144">
        <f t="shared" si="10"/>
        <v>34.464599999999997</v>
      </c>
      <c r="Z71" s="169">
        <f t="shared" si="1"/>
        <v>0</v>
      </c>
      <c r="AA71" s="274">
        <f t="shared" si="2"/>
        <v>0</v>
      </c>
      <c r="AB71" s="169">
        <f t="shared" si="11"/>
        <v>0</v>
      </c>
      <c r="AC71" s="274">
        <f t="shared" si="3"/>
        <v>0</v>
      </c>
      <c r="AD71" s="169">
        <f t="shared" si="4"/>
        <v>0</v>
      </c>
      <c r="AE71" s="274">
        <f t="shared" si="5"/>
        <v>0</v>
      </c>
      <c r="AF71" s="169">
        <f t="shared" si="12"/>
        <v>0</v>
      </c>
      <c r="AG71" s="274">
        <f t="shared" si="6"/>
        <v>0</v>
      </c>
      <c r="AH71" s="169">
        <f t="shared" si="13"/>
        <v>0</v>
      </c>
      <c r="AI71" s="169"/>
      <c r="AJ71" s="169">
        <f t="shared" si="14"/>
        <v>0</v>
      </c>
      <c r="AK71" s="169">
        <f t="shared" si="15"/>
        <v>0</v>
      </c>
      <c r="AL71" s="169"/>
      <c r="AM71" s="169"/>
      <c r="AN71" s="169"/>
      <c r="AQ71" s="169"/>
      <c r="AW71" s="144">
        <f t="shared" si="16"/>
        <v>0</v>
      </c>
    </row>
    <row r="72" spans="1:49" ht="9.75" thickBot="1" x14ac:dyDescent="0.2">
      <c r="A72" s="175"/>
      <c r="B72" s="176"/>
      <c r="C72" s="176"/>
      <c r="D72" s="170" t="str">
        <f t="shared" si="0"/>
        <v xml:space="preserve"> </v>
      </c>
      <c r="E72" s="178"/>
      <c r="F72" s="288">
        <v>0</v>
      </c>
      <c r="G72" s="178">
        <v>37</v>
      </c>
      <c r="H72" s="178">
        <v>37</v>
      </c>
      <c r="I72" s="178"/>
      <c r="J72" s="180"/>
      <c r="K72" s="178"/>
      <c r="L72" s="180"/>
      <c r="M72" s="180"/>
      <c r="N72" s="178"/>
      <c r="O72" s="178"/>
      <c r="P72" s="178"/>
      <c r="Q72" s="171">
        <f>AS72</f>
        <v>0</v>
      </c>
      <c r="R72" s="171">
        <f>AT72</f>
        <v>0</v>
      </c>
      <c r="S72" s="172">
        <f>AU72</f>
        <v>0</v>
      </c>
      <c r="U72" s="144">
        <f>IF(OR(C71=5,C72=5),0,1)</f>
        <v>1</v>
      </c>
      <c r="V72" s="144">
        <f t="shared" si="7"/>
        <v>0</v>
      </c>
      <c r="W72" s="144">
        <f t="shared" si="8"/>
        <v>0</v>
      </c>
      <c r="X72" s="144">
        <f t="shared" si="18"/>
        <v>0</v>
      </c>
      <c r="Y72" s="144">
        <f t="shared" si="10"/>
        <v>34.464599999999997</v>
      </c>
      <c r="Z72" s="169">
        <f t="shared" si="1"/>
        <v>0</v>
      </c>
      <c r="AA72" s="274">
        <f t="shared" si="2"/>
        <v>0</v>
      </c>
      <c r="AB72" s="169">
        <f t="shared" si="11"/>
        <v>0</v>
      </c>
      <c r="AC72" s="274">
        <f t="shared" si="3"/>
        <v>0</v>
      </c>
      <c r="AD72" s="169">
        <f t="shared" si="4"/>
        <v>0</v>
      </c>
      <c r="AE72" s="274">
        <f t="shared" si="5"/>
        <v>0</v>
      </c>
      <c r="AF72" s="169">
        <f t="shared" si="12"/>
        <v>0</v>
      </c>
      <c r="AG72" s="274">
        <f t="shared" si="6"/>
        <v>0</v>
      </c>
      <c r="AH72" s="169">
        <f t="shared" si="13"/>
        <v>0</v>
      </c>
      <c r="AI72" s="169"/>
      <c r="AJ72" s="169">
        <f t="shared" si="14"/>
        <v>0</v>
      </c>
      <c r="AK72" s="169">
        <f t="shared" si="15"/>
        <v>0</v>
      </c>
      <c r="AL72" s="169"/>
      <c r="AM72" s="169">
        <f>AK71*W71+AK72*W72</f>
        <v>0</v>
      </c>
      <c r="AN72" s="169">
        <f>(SUM(AD71:AG71)*W71+SUM(AD72:AG72)*W72)*12*VLOOKUP(C72,JNovergang,3,1)</f>
        <v>0</v>
      </c>
      <c r="AO72" s="169">
        <f>AM72-AN72</f>
        <v>0</v>
      </c>
      <c r="AP72" s="169">
        <f>M72*(100+X72)%</f>
        <v>0</v>
      </c>
      <c r="AQ72" s="274">
        <f>ROUND(M72*F72,2)</f>
        <v>0</v>
      </c>
      <c r="AS72" s="274">
        <f>ROUND((AP72+AQ72)+AM72*(N72/12),0)</f>
        <v>0</v>
      </c>
      <c r="AT72" s="274">
        <f>ROUND(AM72*(O72/12),0)</f>
        <v>0</v>
      </c>
      <c r="AU72" s="274">
        <f>ROUND(AM72*(P72/12)*U72,0)</f>
        <v>0</v>
      </c>
      <c r="AW72" s="144">
        <f t="shared" si="16"/>
        <v>0</v>
      </c>
    </row>
    <row r="73" spans="1:49" x14ac:dyDescent="0.15">
      <c r="A73" s="173"/>
      <c r="B73" s="174"/>
      <c r="C73" s="174"/>
      <c r="D73" s="165" t="str">
        <f t="shared" si="0"/>
        <v xml:space="preserve"> </v>
      </c>
      <c r="E73" s="177"/>
      <c r="F73" s="287">
        <v>0</v>
      </c>
      <c r="G73" s="177">
        <v>37</v>
      </c>
      <c r="H73" s="177">
        <v>37</v>
      </c>
      <c r="I73" s="177"/>
      <c r="J73" s="179"/>
      <c r="K73" s="177"/>
      <c r="L73" s="179"/>
      <c r="M73" s="166"/>
      <c r="N73" s="166"/>
      <c r="O73" s="166"/>
      <c r="P73" s="166"/>
      <c r="Q73" s="167"/>
      <c r="R73" s="167"/>
      <c r="S73" s="168"/>
      <c r="V73" s="144">
        <f t="shared" si="7"/>
        <v>0</v>
      </c>
      <c r="W73" s="144">
        <f t="shared" si="8"/>
        <v>0</v>
      </c>
      <c r="X73" s="144">
        <f t="shared" si="18"/>
        <v>0</v>
      </c>
      <c r="Y73" s="144">
        <f t="shared" si="10"/>
        <v>34.464599999999997</v>
      </c>
      <c r="Z73" s="169">
        <f t="shared" si="1"/>
        <v>0</v>
      </c>
      <c r="AA73" s="274">
        <f t="shared" si="2"/>
        <v>0</v>
      </c>
      <c r="AB73" s="169">
        <f t="shared" si="11"/>
        <v>0</v>
      </c>
      <c r="AC73" s="274">
        <f t="shared" si="3"/>
        <v>0</v>
      </c>
      <c r="AD73" s="169">
        <f t="shared" si="4"/>
        <v>0</v>
      </c>
      <c r="AE73" s="274">
        <f t="shared" si="5"/>
        <v>0</v>
      </c>
      <c r="AF73" s="169">
        <f t="shared" si="12"/>
        <v>0</v>
      </c>
      <c r="AG73" s="274">
        <f t="shared" si="6"/>
        <v>0</v>
      </c>
      <c r="AH73" s="169">
        <f t="shared" si="13"/>
        <v>0</v>
      </c>
      <c r="AI73" s="169"/>
      <c r="AJ73" s="169">
        <f t="shared" si="14"/>
        <v>0</v>
      </c>
      <c r="AK73" s="169">
        <f t="shared" si="15"/>
        <v>0</v>
      </c>
      <c r="AL73" s="169"/>
      <c r="AM73" s="169"/>
      <c r="AN73" s="169"/>
      <c r="AQ73" s="169"/>
      <c r="AW73" s="144">
        <f t="shared" si="16"/>
        <v>0</v>
      </c>
    </row>
    <row r="74" spans="1:49" ht="9.75" thickBot="1" x14ac:dyDescent="0.2">
      <c r="A74" s="175"/>
      <c r="B74" s="176"/>
      <c r="C74" s="176"/>
      <c r="D74" s="170" t="str">
        <f t="shared" si="0"/>
        <v xml:space="preserve"> </v>
      </c>
      <c r="E74" s="178"/>
      <c r="F74" s="288">
        <v>0</v>
      </c>
      <c r="G74" s="178">
        <v>37</v>
      </c>
      <c r="H74" s="178">
        <v>37</v>
      </c>
      <c r="I74" s="178"/>
      <c r="J74" s="180"/>
      <c r="K74" s="178"/>
      <c r="L74" s="180"/>
      <c r="M74" s="180"/>
      <c r="N74" s="178"/>
      <c r="O74" s="178"/>
      <c r="P74" s="178"/>
      <c r="Q74" s="171">
        <f>AS74</f>
        <v>0</v>
      </c>
      <c r="R74" s="171">
        <f>AT74</f>
        <v>0</v>
      </c>
      <c r="S74" s="172">
        <f>AU74</f>
        <v>0</v>
      </c>
      <c r="U74" s="144">
        <f>IF(OR(C73=5,C74=5),0,1)</f>
        <v>1</v>
      </c>
      <c r="V74" s="144">
        <f t="shared" si="7"/>
        <v>0</v>
      </c>
      <c r="W74" s="144">
        <f t="shared" si="8"/>
        <v>0</v>
      </c>
      <c r="X74" s="144">
        <f t="shared" si="18"/>
        <v>0</v>
      </c>
      <c r="Y74" s="144">
        <f t="shared" si="10"/>
        <v>34.464599999999997</v>
      </c>
      <c r="Z74" s="169">
        <f t="shared" si="1"/>
        <v>0</v>
      </c>
      <c r="AA74" s="274">
        <f t="shared" si="2"/>
        <v>0</v>
      </c>
      <c r="AB74" s="169">
        <f t="shared" si="11"/>
        <v>0</v>
      </c>
      <c r="AC74" s="274">
        <f t="shared" si="3"/>
        <v>0</v>
      </c>
      <c r="AD74" s="169">
        <f t="shared" si="4"/>
        <v>0</v>
      </c>
      <c r="AE74" s="274">
        <f t="shared" si="5"/>
        <v>0</v>
      </c>
      <c r="AF74" s="169">
        <f t="shared" si="12"/>
        <v>0</v>
      </c>
      <c r="AG74" s="274">
        <f t="shared" si="6"/>
        <v>0</v>
      </c>
      <c r="AH74" s="169">
        <f t="shared" si="13"/>
        <v>0</v>
      </c>
      <c r="AI74" s="169"/>
      <c r="AJ74" s="169">
        <f t="shared" si="14"/>
        <v>0</v>
      </c>
      <c r="AK74" s="169">
        <f t="shared" si="15"/>
        <v>0</v>
      </c>
      <c r="AL74" s="169"/>
      <c r="AM74" s="169">
        <f>AK73*W73+AK74*W74</f>
        <v>0</v>
      </c>
      <c r="AN74" s="169">
        <f>(SUM(AD73:AG73)*W73+SUM(AD74:AG74)*W74)*12*VLOOKUP(C74,JNovergang,3,1)</f>
        <v>0</v>
      </c>
      <c r="AO74" s="169">
        <f>AM74-AN74</f>
        <v>0</v>
      </c>
      <c r="AP74" s="169">
        <f>M74*(100+X74)%</f>
        <v>0</v>
      </c>
      <c r="AQ74" s="274">
        <f>ROUND(M74*F74,2)</f>
        <v>0</v>
      </c>
      <c r="AS74" s="274">
        <f>ROUND((AP74+AQ74)+AM74*(N74/12),0)</f>
        <v>0</v>
      </c>
      <c r="AT74" s="274">
        <f>ROUND(AM74*(O74/12),0)</f>
        <v>0</v>
      </c>
      <c r="AU74" s="274">
        <f>ROUND(AM74*(P74/12)*U74,0)</f>
        <v>0</v>
      </c>
      <c r="AW74" s="144">
        <f t="shared" si="16"/>
        <v>0</v>
      </c>
    </row>
    <row r="75" spans="1:49" x14ac:dyDescent="0.15">
      <c r="A75" s="173"/>
      <c r="B75" s="174"/>
      <c r="C75" s="174"/>
      <c r="D75" s="165" t="str">
        <f t="shared" si="0"/>
        <v xml:space="preserve"> </v>
      </c>
      <c r="E75" s="177"/>
      <c r="F75" s="287">
        <v>0</v>
      </c>
      <c r="G75" s="177">
        <v>37</v>
      </c>
      <c r="H75" s="177">
        <v>37</v>
      </c>
      <c r="I75" s="177"/>
      <c r="J75" s="179"/>
      <c r="K75" s="177"/>
      <c r="L75" s="179"/>
      <c r="M75" s="166"/>
      <c r="N75" s="166"/>
      <c r="O75" s="166"/>
      <c r="P75" s="166"/>
      <c r="Q75" s="167"/>
      <c r="R75" s="167"/>
      <c r="S75" s="168"/>
      <c r="V75" s="144">
        <f t="shared" si="7"/>
        <v>0</v>
      </c>
      <c r="W75" s="144">
        <f t="shared" si="8"/>
        <v>0</v>
      </c>
      <c r="X75" s="144">
        <f t="shared" si="18"/>
        <v>0</v>
      </c>
      <c r="Y75" s="144">
        <f t="shared" si="10"/>
        <v>34.464599999999997</v>
      </c>
      <c r="Z75" s="169">
        <f t="shared" si="1"/>
        <v>0</v>
      </c>
      <c r="AA75" s="274">
        <f t="shared" si="2"/>
        <v>0</v>
      </c>
      <c r="AB75" s="169">
        <f t="shared" si="11"/>
        <v>0</v>
      </c>
      <c r="AC75" s="274">
        <f t="shared" si="3"/>
        <v>0</v>
      </c>
      <c r="AD75" s="169">
        <f t="shared" si="4"/>
        <v>0</v>
      </c>
      <c r="AE75" s="274">
        <f t="shared" si="5"/>
        <v>0</v>
      </c>
      <c r="AF75" s="169">
        <f t="shared" si="12"/>
        <v>0</v>
      </c>
      <c r="AG75" s="274">
        <f t="shared" si="6"/>
        <v>0</v>
      </c>
      <c r="AH75" s="169">
        <f t="shared" si="13"/>
        <v>0</v>
      </c>
      <c r="AI75" s="169"/>
      <c r="AJ75" s="169">
        <f t="shared" si="14"/>
        <v>0</v>
      </c>
      <c r="AK75" s="169">
        <f t="shared" si="15"/>
        <v>0</v>
      </c>
      <c r="AL75" s="169"/>
      <c r="AM75" s="169"/>
      <c r="AN75" s="169"/>
      <c r="AQ75" s="169"/>
      <c r="AW75" s="144">
        <f t="shared" si="16"/>
        <v>0</v>
      </c>
    </row>
    <row r="76" spans="1:49" ht="9.75" thickBot="1" x14ac:dyDescent="0.2">
      <c r="A76" s="175"/>
      <c r="B76" s="176"/>
      <c r="C76" s="176"/>
      <c r="D76" s="170" t="str">
        <f t="shared" si="0"/>
        <v xml:space="preserve"> </v>
      </c>
      <c r="E76" s="178"/>
      <c r="F76" s="288">
        <v>0</v>
      </c>
      <c r="G76" s="178">
        <v>37</v>
      </c>
      <c r="H76" s="178">
        <v>37</v>
      </c>
      <c r="I76" s="178"/>
      <c r="J76" s="180"/>
      <c r="K76" s="178"/>
      <c r="L76" s="180"/>
      <c r="M76" s="180"/>
      <c r="N76" s="178"/>
      <c r="O76" s="178"/>
      <c r="P76" s="178"/>
      <c r="Q76" s="171">
        <f>AS76</f>
        <v>0</v>
      </c>
      <c r="R76" s="171">
        <f>AT76</f>
        <v>0</v>
      </c>
      <c r="S76" s="172">
        <f>AU76</f>
        <v>0</v>
      </c>
      <c r="U76" s="144">
        <f>IF(OR(C75=5,C76=5),0,1)</f>
        <v>1</v>
      </c>
      <c r="V76" s="144">
        <f t="shared" si="7"/>
        <v>0</v>
      </c>
      <c r="W76" s="144">
        <f t="shared" si="8"/>
        <v>0</v>
      </c>
      <c r="X76" s="144">
        <f t="shared" si="18"/>
        <v>0</v>
      </c>
      <c r="Y76" s="144">
        <f t="shared" si="10"/>
        <v>34.464599999999997</v>
      </c>
      <c r="Z76" s="169">
        <f t="shared" si="1"/>
        <v>0</v>
      </c>
      <c r="AA76" s="274">
        <f t="shared" si="2"/>
        <v>0</v>
      </c>
      <c r="AB76" s="169">
        <f t="shared" si="11"/>
        <v>0</v>
      </c>
      <c r="AC76" s="274">
        <f t="shared" si="3"/>
        <v>0</v>
      </c>
      <c r="AD76" s="169">
        <f t="shared" si="4"/>
        <v>0</v>
      </c>
      <c r="AE76" s="274">
        <f t="shared" si="5"/>
        <v>0</v>
      </c>
      <c r="AF76" s="169">
        <f t="shared" si="12"/>
        <v>0</v>
      </c>
      <c r="AG76" s="274">
        <f t="shared" si="6"/>
        <v>0</v>
      </c>
      <c r="AH76" s="169">
        <f t="shared" si="13"/>
        <v>0</v>
      </c>
      <c r="AI76" s="169"/>
      <c r="AJ76" s="169">
        <f t="shared" si="14"/>
        <v>0</v>
      </c>
      <c r="AK76" s="169">
        <f t="shared" si="15"/>
        <v>0</v>
      </c>
      <c r="AL76" s="169"/>
      <c r="AM76" s="169">
        <f>AK75*W75+AK76*W76</f>
        <v>0</v>
      </c>
      <c r="AN76" s="169">
        <f>(SUM(AD75:AG75)*W75+SUM(AD76:AG76)*W76)*12*VLOOKUP(C76,JNovergang,3,1)</f>
        <v>0</v>
      </c>
      <c r="AO76" s="169">
        <f>AM76-AN76</f>
        <v>0</v>
      </c>
      <c r="AP76" s="169">
        <f>M76*(100+X76)%</f>
        <v>0</v>
      </c>
      <c r="AQ76" s="274">
        <f>ROUND(M76*F76,2)</f>
        <v>0</v>
      </c>
      <c r="AS76" s="274">
        <f>ROUND((AP76+AQ76)+AM76*(N76/12),0)</f>
        <v>0</v>
      </c>
      <c r="AT76" s="274">
        <f>ROUND(AM76*(O76/12),0)</f>
        <v>0</v>
      </c>
      <c r="AU76" s="274">
        <f>ROUND(AM76*(P76/12)*U76,0)</f>
        <v>0</v>
      </c>
      <c r="AW76" s="144">
        <f t="shared" si="16"/>
        <v>0</v>
      </c>
    </row>
    <row r="77" spans="1:49" x14ac:dyDescent="0.15">
      <c r="A77" s="173"/>
      <c r="B77" s="174"/>
      <c r="C77" s="174"/>
      <c r="D77" s="165" t="str">
        <f t="shared" si="0"/>
        <v xml:space="preserve"> </v>
      </c>
      <c r="E77" s="177"/>
      <c r="F77" s="287">
        <v>0</v>
      </c>
      <c r="G77" s="177">
        <v>37</v>
      </c>
      <c r="H77" s="177">
        <v>37</v>
      </c>
      <c r="I77" s="177"/>
      <c r="J77" s="179"/>
      <c r="K77" s="177"/>
      <c r="L77" s="179"/>
      <c r="M77" s="166"/>
      <c r="N77" s="166"/>
      <c r="O77" s="166"/>
      <c r="P77" s="166"/>
      <c r="Q77" s="167"/>
      <c r="R77" s="167"/>
      <c r="S77" s="168"/>
      <c r="V77" s="144">
        <f t="shared" si="7"/>
        <v>0</v>
      </c>
      <c r="W77" s="144">
        <f t="shared" si="8"/>
        <v>0</v>
      </c>
      <c r="X77" s="144">
        <f t="shared" si="18"/>
        <v>0</v>
      </c>
      <c r="Y77" s="144">
        <f t="shared" si="10"/>
        <v>34.464599999999997</v>
      </c>
      <c r="Z77" s="169">
        <f t="shared" si="1"/>
        <v>0</v>
      </c>
      <c r="AA77" s="274">
        <f t="shared" si="2"/>
        <v>0</v>
      </c>
      <c r="AB77" s="169">
        <f t="shared" si="11"/>
        <v>0</v>
      </c>
      <c r="AC77" s="274">
        <f t="shared" si="3"/>
        <v>0</v>
      </c>
      <c r="AD77" s="169">
        <f t="shared" si="4"/>
        <v>0</v>
      </c>
      <c r="AE77" s="274">
        <f t="shared" si="5"/>
        <v>0</v>
      </c>
      <c r="AF77" s="169">
        <f t="shared" si="12"/>
        <v>0</v>
      </c>
      <c r="AG77" s="274">
        <f t="shared" si="6"/>
        <v>0</v>
      </c>
      <c r="AH77" s="169">
        <f t="shared" si="13"/>
        <v>0</v>
      </c>
      <c r="AI77" s="169"/>
      <c r="AJ77" s="169">
        <f t="shared" si="14"/>
        <v>0</v>
      </c>
      <c r="AK77" s="169">
        <f t="shared" si="15"/>
        <v>0</v>
      </c>
      <c r="AL77" s="169"/>
      <c r="AM77" s="169"/>
      <c r="AN77" s="169"/>
      <c r="AQ77" s="169"/>
      <c r="AW77" s="144">
        <f t="shared" si="16"/>
        <v>0</v>
      </c>
    </row>
    <row r="78" spans="1:49" ht="9.75" thickBot="1" x14ac:dyDescent="0.2">
      <c r="A78" s="175"/>
      <c r="B78" s="176"/>
      <c r="C78" s="176"/>
      <c r="D78" s="170" t="str">
        <f t="shared" si="0"/>
        <v xml:space="preserve"> </v>
      </c>
      <c r="E78" s="178"/>
      <c r="F78" s="288">
        <v>0</v>
      </c>
      <c r="G78" s="178">
        <v>37</v>
      </c>
      <c r="H78" s="178">
        <v>37</v>
      </c>
      <c r="I78" s="178"/>
      <c r="J78" s="180"/>
      <c r="K78" s="178"/>
      <c r="L78" s="180"/>
      <c r="M78" s="180"/>
      <c r="N78" s="178"/>
      <c r="O78" s="178"/>
      <c r="P78" s="178"/>
      <c r="Q78" s="171">
        <f>AS78</f>
        <v>0</v>
      </c>
      <c r="R78" s="171">
        <f>AT78</f>
        <v>0</v>
      </c>
      <c r="S78" s="172">
        <f>AU78</f>
        <v>0</v>
      </c>
      <c r="U78" s="144">
        <f>IF(OR(C77=5,C78=5),0,1)</f>
        <v>1</v>
      </c>
      <c r="V78" s="144">
        <f t="shared" si="7"/>
        <v>0</v>
      </c>
      <c r="W78" s="144">
        <f t="shared" si="8"/>
        <v>0</v>
      </c>
      <c r="X78" s="144">
        <f t="shared" si="18"/>
        <v>0</v>
      </c>
      <c r="Y78" s="144">
        <f t="shared" si="10"/>
        <v>34.464599999999997</v>
      </c>
      <c r="Z78" s="169">
        <f t="shared" si="1"/>
        <v>0</v>
      </c>
      <c r="AA78" s="274">
        <f t="shared" si="2"/>
        <v>0</v>
      </c>
      <c r="AB78" s="169">
        <f t="shared" si="11"/>
        <v>0</v>
      </c>
      <c r="AC78" s="274">
        <f t="shared" si="3"/>
        <v>0</v>
      </c>
      <c r="AD78" s="169">
        <f t="shared" si="4"/>
        <v>0</v>
      </c>
      <c r="AE78" s="274">
        <f t="shared" si="5"/>
        <v>0</v>
      </c>
      <c r="AF78" s="169">
        <f t="shared" si="12"/>
        <v>0</v>
      </c>
      <c r="AG78" s="274">
        <f t="shared" si="6"/>
        <v>0</v>
      </c>
      <c r="AH78" s="169">
        <f t="shared" si="13"/>
        <v>0</v>
      </c>
      <c r="AI78" s="169"/>
      <c r="AJ78" s="169">
        <f t="shared" si="14"/>
        <v>0</v>
      </c>
      <c r="AK78" s="169">
        <f t="shared" si="15"/>
        <v>0</v>
      </c>
      <c r="AL78" s="169"/>
      <c r="AM78" s="169">
        <f>AK77*W77+AK78*W78</f>
        <v>0</v>
      </c>
      <c r="AN78" s="169">
        <f>(SUM(AD77:AG77)*W77+SUM(AD78:AG78)*W78)*12*VLOOKUP(C78,JNovergang,3,1)</f>
        <v>0</v>
      </c>
      <c r="AO78" s="169">
        <f>AM78-AN78</f>
        <v>0</v>
      </c>
      <c r="AP78" s="169">
        <f>M78*(100+X78)%</f>
        <v>0</v>
      </c>
      <c r="AQ78" s="274">
        <f>ROUND(M78*F78,2)</f>
        <v>0</v>
      </c>
      <c r="AS78" s="274">
        <f>ROUND((AP78+AQ78)+AM78*(N78/12),0)</f>
        <v>0</v>
      </c>
      <c r="AT78" s="274">
        <f>ROUND(AM78*(O78/12),0)</f>
        <v>0</v>
      </c>
      <c r="AU78" s="274">
        <f>ROUND(AM78*(P78/12)*U78,0)</f>
        <v>0</v>
      </c>
      <c r="AW78" s="144">
        <f t="shared" si="16"/>
        <v>0</v>
      </c>
    </row>
    <row r="79" spans="1:49" x14ac:dyDescent="0.15">
      <c r="A79" s="173"/>
      <c r="B79" s="174"/>
      <c r="C79" s="174"/>
      <c r="D79" s="165" t="str">
        <f t="shared" si="0"/>
        <v xml:space="preserve"> </v>
      </c>
      <c r="E79" s="177"/>
      <c r="F79" s="287">
        <v>0</v>
      </c>
      <c r="G79" s="177">
        <v>37</v>
      </c>
      <c r="H79" s="177">
        <v>37</v>
      </c>
      <c r="I79" s="177"/>
      <c r="J79" s="179"/>
      <c r="K79" s="177"/>
      <c r="L79" s="179"/>
      <c r="M79" s="166"/>
      <c r="N79" s="166"/>
      <c r="O79" s="166"/>
      <c r="P79" s="166"/>
      <c r="Q79" s="167"/>
      <c r="R79" s="167"/>
      <c r="S79" s="168"/>
      <c r="V79" s="144">
        <f t="shared" si="7"/>
        <v>0</v>
      </c>
      <c r="W79" s="144">
        <f t="shared" si="8"/>
        <v>0</v>
      </c>
      <c r="X79" s="144">
        <f t="shared" si="18"/>
        <v>0</v>
      </c>
      <c r="Y79" s="144">
        <f t="shared" si="10"/>
        <v>34.464599999999997</v>
      </c>
      <c r="Z79" s="169">
        <f t="shared" si="1"/>
        <v>0</v>
      </c>
      <c r="AA79" s="274">
        <f t="shared" si="2"/>
        <v>0</v>
      </c>
      <c r="AB79" s="169">
        <f t="shared" si="11"/>
        <v>0</v>
      </c>
      <c r="AC79" s="274">
        <f t="shared" si="3"/>
        <v>0</v>
      </c>
      <c r="AD79" s="169">
        <f t="shared" si="4"/>
        <v>0</v>
      </c>
      <c r="AE79" s="274">
        <f t="shared" si="5"/>
        <v>0</v>
      </c>
      <c r="AF79" s="169">
        <f t="shared" si="12"/>
        <v>0</v>
      </c>
      <c r="AG79" s="274">
        <f t="shared" si="6"/>
        <v>0</v>
      </c>
      <c r="AH79" s="169">
        <f t="shared" si="13"/>
        <v>0</v>
      </c>
      <c r="AI79" s="169"/>
      <c r="AJ79" s="169">
        <f t="shared" si="14"/>
        <v>0</v>
      </c>
      <c r="AK79" s="169">
        <f t="shared" si="15"/>
        <v>0</v>
      </c>
      <c r="AL79" s="169"/>
      <c r="AM79" s="169"/>
      <c r="AN79" s="169"/>
      <c r="AQ79" s="169"/>
      <c r="AW79" s="144">
        <f t="shared" si="16"/>
        <v>0</v>
      </c>
    </row>
    <row r="80" spans="1:49" ht="9.75" thickBot="1" x14ac:dyDescent="0.2">
      <c r="A80" s="175"/>
      <c r="B80" s="176"/>
      <c r="C80" s="176"/>
      <c r="D80" s="170" t="str">
        <f t="shared" si="0"/>
        <v xml:space="preserve"> </v>
      </c>
      <c r="E80" s="178"/>
      <c r="F80" s="288">
        <v>0</v>
      </c>
      <c r="G80" s="178">
        <v>37</v>
      </c>
      <c r="H80" s="178">
        <v>37</v>
      </c>
      <c r="I80" s="178"/>
      <c r="J80" s="180"/>
      <c r="K80" s="178"/>
      <c r="L80" s="180"/>
      <c r="M80" s="180"/>
      <c r="N80" s="178"/>
      <c r="O80" s="178"/>
      <c r="P80" s="178"/>
      <c r="Q80" s="171">
        <f>AS80</f>
        <v>0</v>
      </c>
      <c r="R80" s="171">
        <f>AT80</f>
        <v>0</v>
      </c>
      <c r="S80" s="172">
        <f>AU80</f>
        <v>0</v>
      </c>
      <c r="U80" s="144">
        <f>IF(OR(C79=5,C80=5),0,1)</f>
        <v>1</v>
      </c>
      <c r="V80" s="144">
        <f t="shared" si="7"/>
        <v>0</v>
      </c>
      <c r="W80" s="144">
        <f t="shared" si="8"/>
        <v>0</v>
      </c>
      <c r="X80" s="144">
        <f t="shared" si="18"/>
        <v>0</v>
      </c>
      <c r="Y80" s="144">
        <f t="shared" si="10"/>
        <v>34.464599999999997</v>
      </c>
      <c r="Z80" s="169">
        <f t="shared" si="1"/>
        <v>0</v>
      </c>
      <c r="AA80" s="274">
        <f t="shared" si="2"/>
        <v>0</v>
      </c>
      <c r="AB80" s="169">
        <f t="shared" si="11"/>
        <v>0</v>
      </c>
      <c r="AC80" s="274">
        <f t="shared" si="3"/>
        <v>0</v>
      </c>
      <c r="AD80" s="169">
        <f t="shared" si="4"/>
        <v>0</v>
      </c>
      <c r="AE80" s="274">
        <f t="shared" si="5"/>
        <v>0</v>
      </c>
      <c r="AF80" s="169">
        <f t="shared" si="12"/>
        <v>0</v>
      </c>
      <c r="AG80" s="274">
        <f t="shared" si="6"/>
        <v>0</v>
      </c>
      <c r="AH80" s="169">
        <f t="shared" si="13"/>
        <v>0</v>
      </c>
      <c r="AI80" s="169"/>
      <c r="AJ80" s="169">
        <f t="shared" si="14"/>
        <v>0</v>
      </c>
      <c r="AK80" s="169">
        <f t="shared" si="15"/>
        <v>0</v>
      </c>
      <c r="AL80" s="169"/>
      <c r="AM80" s="169">
        <f>AK79*W79+AK80*W80</f>
        <v>0</v>
      </c>
      <c r="AN80" s="169">
        <f>(SUM(AD79:AG79)*W79+SUM(AD80:AG80)*W80)*12*VLOOKUP(C80,JNovergang,3,1)</f>
        <v>0</v>
      </c>
      <c r="AO80" s="169">
        <f>AM80-AN80</f>
        <v>0</v>
      </c>
      <c r="AP80" s="169">
        <f>M80*(100+X80)%</f>
        <v>0</v>
      </c>
      <c r="AQ80" s="274">
        <f>ROUND(M80*F80,2)</f>
        <v>0</v>
      </c>
      <c r="AS80" s="274">
        <f>ROUND((AP80+AQ80)+AM80*(N80/12),0)</f>
        <v>0</v>
      </c>
      <c r="AT80" s="274">
        <f>ROUND(AM80*(O80/12),0)</f>
        <v>0</v>
      </c>
      <c r="AU80" s="274">
        <f>ROUND(AM80*(P80/12)*U80,0)</f>
        <v>0</v>
      </c>
      <c r="AW80" s="144">
        <f t="shared" si="16"/>
        <v>0</v>
      </c>
    </row>
    <row r="81" spans="1:49" x14ac:dyDescent="0.15">
      <c r="A81" s="173"/>
      <c r="B81" s="174"/>
      <c r="C81" s="174"/>
      <c r="D81" s="165" t="str">
        <f t="shared" si="0"/>
        <v xml:space="preserve"> </v>
      </c>
      <c r="E81" s="177"/>
      <c r="F81" s="287">
        <v>0</v>
      </c>
      <c r="G81" s="177">
        <v>37</v>
      </c>
      <c r="H81" s="177">
        <v>37</v>
      </c>
      <c r="I81" s="177"/>
      <c r="J81" s="179"/>
      <c r="K81" s="177"/>
      <c r="L81" s="179"/>
      <c r="M81" s="166"/>
      <c r="N81" s="166"/>
      <c r="O81" s="166"/>
      <c r="P81" s="166"/>
      <c r="Q81" s="167"/>
      <c r="R81" s="167"/>
      <c r="S81" s="168"/>
      <c r="V81" s="144">
        <f t="shared" si="7"/>
        <v>0</v>
      </c>
      <c r="W81" s="144">
        <f t="shared" si="8"/>
        <v>0</v>
      </c>
      <c r="X81" s="144">
        <f t="shared" si="18"/>
        <v>0</v>
      </c>
      <c r="Y81" s="144">
        <f t="shared" si="10"/>
        <v>34.464599999999997</v>
      </c>
      <c r="Z81" s="169">
        <f t="shared" si="1"/>
        <v>0</v>
      </c>
      <c r="AA81" s="274">
        <f t="shared" si="2"/>
        <v>0</v>
      </c>
      <c r="AB81" s="169">
        <f t="shared" si="11"/>
        <v>0</v>
      </c>
      <c r="AC81" s="274">
        <f t="shared" si="3"/>
        <v>0</v>
      </c>
      <c r="AD81" s="169">
        <f t="shared" si="4"/>
        <v>0</v>
      </c>
      <c r="AE81" s="274">
        <f t="shared" si="5"/>
        <v>0</v>
      </c>
      <c r="AF81" s="169">
        <f t="shared" si="12"/>
        <v>0</v>
      </c>
      <c r="AG81" s="274">
        <f t="shared" si="6"/>
        <v>0</v>
      </c>
      <c r="AH81" s="169">
        <f t="shared" si="13"/>
        <v>0</v>
      </c>
      <c r="AI81" s="169"/>
      <c r="AJ81" s="169">
        <f t="shared" si="14"/>
        <v>0</v>
      </c>
      <c r="AK81" s="169">
        <f t="shared" si="15"/>
        <v>0</v>
      </c>
      <c r="AL81" s="169"/>
      <c r="AM81" s="169"/>
      <c r="AN81" s="169"/>
      <c r="AQ81" s="169"/>
      <c r="AW81" s="144">
        <f t="shared" si="16"/>
        <v>0</v>
      </c>
    </row>
    <row r="82" spans="1:49" ht="9.75" thickBot="1" x14ac:dyDescent="0.2">
      <c r="A82" s="175"/>
      <c r="B82" s="176"/>
      <c r="C82" s="176"/>
      <c r="D82" s="170" t="str">
        <f t="shared" si="0"/>
        <v xml:space="preserve"> </v>
      </c>
      <c r="E82" s="178"/>
      <c r="F82" s="288">
        <v>0</v>
      </c>
      <c r="G82" s="178">
        <v>37</v>
      </c>
      <c r="H82" s="178">
        <v>37</v>
      </c>
      <c r="I82" s="178"/>
      <c r="J82" s="180"/>
      <c r="K82" s="178"/>
      <c r="L82" s="180"/>
      <c r="M82" s="180"/>
      <c r="N82" s="178"/>
      <c r="O82" s="178"/>
      <c r="P82" s="178"/>
      <c r="Q82" s="171">
        <f>AS82</f>
        <v>0</v>
      </c>
      <c r="R82" s="171">
        <f>AT82</f>
        <v>0</v>
      </c>
      <c r="S82" s="172">
        <f>AU82</f>
        <v>0</v>
      </c>
      <c r="U82" s="144">
        <f>IF(OR(C81=5,C82=5),0,1)</f>
        <v>1</v>
      </c>
      <c r="V82" s="144">
        <f t="shared" si="7"/>
        <v>0</v>
      </c>
      <c r="W82" s="144">
        <f t="shared" si="8"/>
        <v>0</v>
      </c>
      <c r="X82" s="144">
        <f t="shared" si="18"/>
        <v>0</v>
      </c>
      <c r="Y82" s="144">
        <f t="shared" si="10"/>
        <v>34.464599999999997</v>
      </c>
      <c r="Z82" s="169">
        <f t="shared" si="1"/>
        <v>0</v>
      </c>
      <c r="AA82" s="274">
        <f t="shared" si="2"/>
        <v>0</v>
      </c>
      <c r="AB82" s="169">
        <f t="shared" si="11"/>
        <v>0</v>
      </c>
      <c r="AC82" s="274">
        <f t="shared" si="3"/>
        <v>0</v>
      </c>
      <c r="AD82" s="169">
        <f t="shared" si="4"/>
        <v>0</v>
      </c>
      <c r="AE82" s="274">
        <f t="shared" si="5"/>
        <v>0</v>
      </c>
      <c r="AF82" s="169">
        <f t="shared" si="12"/>
        <v>0</v>
      </c>
      <c r="AG82" s="274">
        <f t="shared" si="6"/>
        <v>0</v>
      </c>
      <c r="AH82" s="169">
        <f t="shared" si="13"/>
        <v>0</v>
      </c>
      <c r="AI82" s="169"/>
      <c r="AJ82" s="169">
        <f t="shared" si="14"/>
        <v>0</v>
      </c>
      <c r="AK82" s="169">
        <f t="shared" si="15"/>
        <v>0</v>
      </c>
      <c r="AL82" s="169"/>
      <c r="AM82" s="169">
        <f>AK81*W81+AK82*W82</f>
        <v>0</v>
      </c>
      <c r="AN82" s="169">
        <f>(SUM(AD81:AG81)*W81+SUM(AD82:AG82)*W82)*12*VLOOKUP(C82,JNovergang,3,1)</f>
        <v>0</v>
      </c>
      <c r="AO82" s="169">
        <f>AM82-AN82</f>
        <v>0</v>
      </c>
      <c r="AP82" s="169">
        <f>M82*(100+X82)%</f>
        <v>0</v>
      </c>
      <c r="AQ82" s="274">
        <f>ROUND(M82*F82,2)</f>
        <v>0</v>
      </c>
      <c r="AS82" s="274">
        <f>ROUND((AP82+AQ82)+AM82*(N82/12),0)</f>
        <v>0</v>
      </c>
      <c r="AT82" s="274">
        <f>ROUND(AM82*(O82/12),0)</f>
        <v>0</v>
      </c>
      <c r="AU82" s="274">
        <f>ROUND(AM82*(P82/12)*U82,0)</f>
        <v>0</v>
      </c>
      <c r="AW82" s="144">
        <f t="shared" si="16"/>
        <v>0</v>
      </c>
    </row>
    <row r="83" spans="1:49" x14ac:dyDescent="0.15">
      <c r="A83" s="173"/>
      <c r="B83" s="174"/>
      <c r="C83" s="174"/>
      <c r="D83" s="165" t="str">
        <f t="shared" si="0"/>
        <v xml:space="preserve"> </v>
      </c>
      <c r="E83" s="177"/>
      <c r="F83" s="287">
        <v>0</v>
      </c>
      <c r="G83" s="177">
        <v>37</v>
      </c>
      <c r="H83" s="177">
        <v>37</v>
      </c>
      <c r="I83" s="177"/>
      <c r="J83" s="179"/>
      <c r="K83" s="177"/>
      <c r="L83" s="179"/>
      <c r="M83" s="166"/>
      <c r="N83" s="166"/>
      <c r="O83" s="166"/>
      <c r="P83" s="166"/>
      <c r="Q83" s="167"/>
      <c r="R83" s="167"/>
      <c r="S83" s="168"/>
      <c r="V83" s="144">
        <f t="shared" si="7"/>
        <v>0</v>
      </c>
      <c r="W83" s="144">
        <f t="shared" si="8"/>
        <v>0</v>
      </c>
      <c r="X83" s="144">
        <f t="shared" si="18"/>
        <v>0</v>
      </c>
      <c r="Y83" s="144">
        <f t="shared" si="10"/>
        <v>34.464599999999997</v>
      </c>
      <c r="Z83" s="169">
        <f t="shared" si="1"/>
        <v>0</v>
      </c>
      <c r="AA83" s="274">
        <f t="shared" si="2"/>
        <v>0</v>
      </c>
      <c r="AB83" s="169">
        <f t="shared" si="11"/>
        <v>0</v>
      </c>
      <c r="AC83" s="274">
        <f t="shared" si="3"/>
        <v>0</v>
      </c>
      <c r="AD83" s="169">
        <f t="shared" si="4"/>
        <v>0</v>
      </c>
      <c r="AE83" s="274">
        <f t="shared" si="5"/>
        <v>0</v>
      </c>
      <c r="AF83" s="169">
        <f t="shared" si="12"/>
        <v>0</v>
      </c>
      <c r="AG83" s="274">
        <f t="shared" si="6"/>
        <v>0</v>
      </c>
      <c r="AH83" s="169">
        <f t="shared" si="13"/>
        <v>0</v>
      </c>
      <c r="AI83" s="169"/>
      <c r="AJ83" s="169">
        <f t="shared" si="14"/>
        <v>0</v>
      </c>
      <c r="AK83" s="169">
        <f t="shared" si="15"/>
        <v>0</v>
      </c>
      <c r="AL83" s="169"/>
      <c r="AM83" s="169"/>
      <c r="AN83" s="169"/>
      <c r="AQ83" s="169"/>
      <c r="AW83" s="144">
        <f t="shared" si="16"/>
        <v>0</v>
      </c>
    </row>
    <row r="84" spans="1:49" ht="9.75" thickBot="1" x14ac:dyDescent="0.2">
      <c r="A84" s="175"/>
      <c r="B84" s="176"/>
      <c r="C84" s="176"/>
      <c r="D84" s="170" t="str">
        <f t="shared" si="0"/>
        <v xml:space="preserve"> </v>
      </c>
      <c r="E84" s="178"/>
      <c r="F84" s="288">
        <v>0</v>
      </c>
      <c r="G84" s="178">
        <v>37</v>
      </c>
      <c r="H84" s="178">
        <v>37</v>
      </c>
      <c r="I84" s="178"/>
      <c r="J84" s="180"/>
      <c r="K84" s="178"/>
      <c r="L84" s="180"/>
      <c r="M84" s="180"/>
      <c r="N84" s="178"/>
      <c r="O84" s="178"/>
      <c r="P84" s="178"/>
      <c r="Q84" s="171">
        <f>AS84</f>
        <v>0</v>
      </c>
      <c r="R84" s="171">
        <f>AT84</f>
        <v>0</v>
      </c>
      <c r="S84" s="172">
        <f>AU84</f>
        <v>0</v>
      </c>
      <c r="U84" s="144">
        <f>IF(OR(C83=5,C84=5),0,1)</f>
        <v>1</v>
      </c>
      <c r="V84" s="144">
        <f t="shared" si="7"/>
        <v>0</v>
      </c>
      <c r="W84" s="144">
        <f t="shared" si="8"/>
        <v>0</v>
      </c>
      <c r="X84" s="144">
        <f t="shared" si="18"/>
        <v>0</v>
      </c>
      <c r="Y84" s="144">
        <f t="shared" si="10"/>
        <v>34.464599999999997</v>
      </c>
      <c r="Z84" s="169">
        <f t="shared" si="1"/>
        <v>0</v>
      </c>
      <c r="AA84" s="274">
        <f t="shared" si="2"/>
        <v>0</v>
      </c>
      <c r="AB84" s="169">
        <f t="shared" si="11"/>
        <v>0</v>
      </c>
      <c r="AC84" s="274">
        <f t="shared" si="3"/>
        <v>0</v>
      </c>
      <c r="AD84" s="169">
        <f t="shared" si="4"/>
        <v>0</v>
      </c>
      <c r="AE84" s="274">
        <f t="shared" si="5"/>
        <v>0</v>
      </c>
      <c r="AF84" s="169">
        <f t="shared" si="12"/>
        <v>0</v>
      </c>
      <c r="AG84" s="274">
        <f t="shared" si="6"/>
        <v>0</v>
      </c>
      <c r="AH84" s="169">
        <f t="shared" si="13"/>
        <v>0</v>
      </c>
      <c r="AI84" s="169"/>
      <c r="AJ84" s="169">
        <f t="shared" si="14"/>
        <v>0</v>
      </c>
      <c r="AK84" s="169">
        <f t="shared" si="15"/>
        <v>0</v>
      </c>
      <c r="AL84" s="169"/>
      <c r="AM84" s="169">
        <f>AK83*W83+AK84*W84</f>
        <v>0</v>
      </c>
      <c r="AN84" s="169">
        <f>(SUM(AD83:AG83)*W83+SUM(AD84:AG84)*W84)*12*VLOOKUP(C84,JNovergang,3,1)</f>
        <v>0</v>
      </c>
      <c r="AO84" s="169">
        <f>AM84-AN84</f>
        <v>0</v>
      </c>
      <c r="AP84" s="169">
        <f>M84*(100+X84)%</f>
        <v>0</v>
      </c>
      <c r="AQ84" s="274">
        <f>ROUND(M84*F84,2)</f>
        <v>0</v>
      </c>
      <c r="AS84" s="274">
        <f>ROUND((AP84+AQ84)+AM84*(N84/12),0)</f>
        <v>0</v>
      </c>
      <c r="AT84" s="274">
        <f>ROUND(AM84*(O84/12),0)</f>
        <v>0</v>
      </c>
      <c r="AU84" s="274">
        <f>ROUND(AM84*(P84/12)*U84,0)</f>
        <v>0</v>
      </c>
      <c r="AW84" s="144">
        <f t="shared" si="16"/>
        <v>0</v>
      </c>
    </row>
    <row r="85" spans="1:49" x14ac:dyDescent="0.15">
      <c r="A85" s="173"/>
      <c r="B85" s="174"/>
      <c r="C85" s="174"/>
      <c r="D85" s="165" t="str">
        <f t="shared" si="0"/>
        <v xml:space="preserve"> </v>
      </c>
      <c r="E85" s="177"/>
      <c r="F85" s="287">
        <v>0</v>
      </c>
      <c r="G85" s="177">
        <v>37</v>
      </c>
      <c r="H85" s="177">
        <v>37</v>
      </c>
      <c r="I85" s="177"/>
      <c r="J85" s="179"/>
      <c r="K85" s="177"/>
      <c r="L85" s="179"/>
      <c r="M85" s="166"/>
      <c r="N85" s="166"/>
      <c r="O85" s="166"/>
      <c r="P85" s="166"/>
      <c r="Q85" s="167"/>
      <c r="R85" s="167"/>
      <c r="S85" s="168"/>
      <c r="V85" s="144">
        <f t="shared" si="7"/>
        <v>0</v>
      </c>
      <c r="W85" s="144">
        <f t="shared" si="8"/>
        <v>0</v>
      </c>
      <c r="X85" s="144">
        <f t="shared" si="18"/>
        <v>0</v>
      </c>
      <c r="Y85" s="144">
        <f t="shared" si="10"/>
        <v>34.464599999999997</v>
      </c>
      <c r="Z85" s="169">
        <f t="shared" ref="Z85:Z148" si="19">ROUND(VLOOKUP(I85,TabelLønninger,VLOOKUP(E85,TabelLøntabel,2,1),1)*G85/H85,2)</f>
        <v>0</v>
      </c>
      <c r="AA85" s="274">
        <f t="shared" ref="AA85:AA148" si="20">ROUND(VLOOKUP(I85,TabelLønninger,VLOOKUP(E85,TabelPensgivLøn,2))*F85/12*G85/H85,2)</f>
        <v>0</v>
      </c>
      <c r="AB85" s="169">
        <f t="shared" si="11"/>
        <v>0</v>
      </c>
      <c r="AC85" s="274">
        <f t="shared" ref="AC85:AC148" si="21">ROUND(AB85*F85,2)</f>
        <v>0</v>
      </c>
      <c r="AD85" s="169">
        <f t="shared" ref="AD85:AD148" si="22">ROUND(VLOOKUP(I85+K85,TabelLønninger,VLOOKUP(E85,TabelLøntabel,2,1),1)*G85/H85,2)-Z85</f>
        <v>0</v>
      </c>
      <c r="AE85" s="274">
        <f t="shared" ref="AE85:AE148" si="23">ROUND(VLOOKUP(I85+K85,TabelLønninger,VLOOKUP(E85,TabelPensgivLøn,2))*F85/12*G85/H85,2)-AA85</f>
        <v>0</v>
      </c>
      <c r="AF85" s="169">
        <f t="shared" si="12"/>
        <v>0</v>
      </c>
      <c r="AG85" s="274">
        <f t="shared" ref="AG85:AG148" si="24">ROUND(AF85*F85,2)</f>
        <v>0</v>
      </c>
      <c r="AH85" s="169">
        <f t="shared" si="13"/>
        <v>0</v>
      </c>
      <c r="AI85" s="169"/>
      <c r="AJ85" s="169">
        <f t="shared" si="14"/>
        <v>0</v>
      </c>
      <c r="AK85" s="169">
        <f t="shared" si="15"/>
        <v>0</v>
      </c>
      <c r="AL85" s="169"/>
      <c r="AM85" s="169"/>
      <c r="AN85" s="169"/>
      <c r="AQ85" s="169"/>
      <c r="AW85" s="144">
        <f t="shared" si="16"/>
        <v>0</v>
      </c>
    </row>
    <row r="86" spans="1:49" ht="9.75" thickBot="1" x14ac:dyDescent="0.2">
      <c r="A86" s="175"/>
      <c r="B86" s="176"/>
      <c r="C86" s="176"/>
      <c r="D86" s="170" t="str">
        <f>VLOOKUP(C86,Tabelændringskode,2,1)</f>
        <v xml:space="preserve"> </v>
      </c>
      <c r="E86" s="178"/>
      <c r="F86" s="288">
        <v>0</v>
      </c>
      <c r="G86" s="178">
        <v>37</v>
      </c>
      <c r="H86" s="178">
        <v>37</v>
      </c>
      <c r="I86" s="178"/>
      <c r="J86" s="180"/>
      <c r="K86" s="178"/>
      <c r="L86" s="180"/>
      <c r="M86" s="180"/>
      <c r="N86" s="178"/>
      <c r="O86" s="178"/>
      <c r="P86" s="178"/>
      <c r="Q86" s="171">
        <f>AS86</f>
        <v>0</v>
      </c>
      <c r="R86" s="171">
        <f>AT86</f>
        <v>0</v>
      </c>
      <c r="S86" s="172">
        <f>AU86</f>
        <v>0</v>
      </c>
      <c r="U86" s="144">
        <f>IF(OR(C85=5,C86=5),0,1)</f>
        <v>1</v>
      </c>
      <c r="V86" s="144">
        <f t="shared" ref="V86:V149" si="25">VLOOKUP(C86,TabelRammeforbrug,3,1)</f>
        <v>0</v>
      </c>
      <c r="W86" s="144">
        <f t="shared" ref="W86:W149" si="26">VLOOKUP(C86,FraTil,3,1)</f>
        <v>0</v>
      </c>
      <c r="X86" s="144">
        <f t="shared" si="18"/>
        <v>0</v>
      </c>
      <c r="Y86" s="144">
        <f t="shared" ref="Y86:Y149" si="27">VLOOKUP(E86,TabelPctReg,2)</f>
        <v>34.464599999999997</v>
      </c>
      <c r="Z86" s="169">
        <f t="shared" si="19"/>
        <v>0</v>
      </c>
      <c r="AA86" s="274">
        <f t="shared" si="20"/>
        <v>0</v>
      </c>
      <c r="AB86" s="169">
        <f t="shared" ref="AB86:AB149" si="28">ROUND(J86/12*(1+Y86%),2)*G86/H86</f>
        <v>0</v>
      </c>
      <c r="AC86" s="274">
        <f t="shared" si="21"/>
        <v>0</v>
      </c>
      <c r="AD86" s="169">
        <f t="shared" si="22"/>
        <v>0</v>
      </c>
      <c r="AE86" s="274">
        <f t="shared" si="23"/>
        <v>0</v>
      </c>
      <c r="AF86" s="169">
        <f t="shared" ref="AF86:AF149" si="29">ROUND(L86/12*(1+Y86%),2)*G86/H86</f>
        <v>0</v>
      </c>
      <c r="AG86" s="274">
        <f t="shared" si="24"/>
        <v>0</v>
      </c>
      <c r="AH86" s="169">
        <f t="shared" ref="AH86:AH149" si="30">ROUND((Z86+AB86+AD86+AF86)*X86%,2)</f>
        <v>0</v>
      </c>
      <c r="AI86" s="169"/>
      <c r="AJ86" s="169">
        <f t="shared" ref="AJ86:AJ149" si="31">SUM(Z86:AH86)</f>
        <v>0</v>
      </c>
      <c r="AK86" s="169">
        <f t="shared" ref="AK86:AK149" si="32">AJ86*12</f>
        <v>0</v>
      </c>
      <c r="AL86" s="169"/>
      <c r="AM86" s="169">
        <f>AK85*W85+AK86*W86</f>
        <v>0</v>
      </c>
      <c r="AN86" s="169">
        <f>(SUM(AD85:AG85)*W85+SUM(AD86:AG86)*W86)*12*VLOOKUP(C86,JNovergang,3,1)</f>
        <v>0</v>
      </c>
      <c r="AO86" s="169">
        <f>AM86-AN86</f>
        <v>0</v>
      </c>
      <c r="AP86" s="169">
        <f>M86*(100+X86)%</f>
        <v>0</v>
      </c>
      <c r="AQ86" s="274">
        <f>ROUND(M86*F86,2)</f>
        <v>0</v>
      </c>
      <c r="AS86" s="274">
        <f>ROUND((AP86+AQ86)+AM86*(N86/12),0)</f>
        <v>0</v>
      </c>
      <c r="AT86" s="274">
        <f>ROUND(AM86*(O86/12),0)</f>
        <v>0</v>
      </c>
      <c r="AU86" s="274">
        <f>ROUND(AM86*(P86/12)*U86,0)</f>
        <v>0</v>
      </c>
      <c r="AW86" s="144">
        <f t="shared" ref="AW86:AW149" si="33">IF(ISNUMBER(C86),ROW(),0)</f>
        <v>0</v>
      </c>
    </row>
    <row r="87" spans="1:49" x14ac:dyDescent="0.15">
      <c r="A87" s="173"/>
      <c r="B87" s="174"/>
      <c r="C87" s="174"/>
      <c r="D87" s="165" t="str">
        <f t="shared" si="0"/>
        <v xml:space="preserve"> </v>
      </c>
      <c r="E87" s="177"/>
      <c r="F87" s="287">
        <v>0</v>
      </c>
      <c r="G87" s="177">
        <v>37</v>
      </c>
      <c r="H87" s="177">
        <v>37</v>
      </c>
      <c r="I87" s="177"/>
      <c r="J87" s="179"/>
      <c r="K87" s="177"/>
      <c r="L87" s="179"/>
      <c r="M87" s="166"/>
      <c r="N87" s="166"/>
      <c r="O87" s="166"/>
      <c r="P87" s="166"/>
      <c r="Q87" s="167"/>
      <c r="R87" s="167"/>
      <c r="S87" s="168"/>
      <c r="V87" s="144">
        <f t="shared" si="25"/>
        <v>0</v>
      </c>
      <c r="W87" s="144">
        <f t="shared" si="26"/>
        <v>0</v>
      </c>
      <c r="X87" s="144">
        <f t="shared" si="18"/>
        <v>0</v>
      </c>
      <c r="Y87" s="144">
        <f t="shared" si="27"/>
        <v>34.464599999999997</v>
      </c>
      <c r="Z87" s="169">
        <f t="shared" si="19"/>
        <v>0</v>
      </c>
      <c r="AA87" s="274">
        <f t="shared" si="20"/>
        <v>0</v>
      </c>
      <c r="AB87" s="169">
        <f t="shared" si="28"/>
        <v>0</v>
      </c>
      <c r="AC87" s="274">
        <f t="shared" si="21"/>
        <v>0</v>
      </c>
      <c r="AD87" s="169">
        <f t="shared" si="22"/>
        <v>0</v>
      </c>
      <c r="AE87" s="274">
        <f t="shared" si="23"/>
        <v>0</v>
      </c>
      <c r="AF87" s="169">
        <f t="shared" si="29"/>
        <v>0</v>
      </c>
      <c r="AG87" s="274">
        <f t="shared" si="24"/>
        <v>0</v>
      </c>
      <c r="AH87" s="169">
        <f t="shared" si="30"/>
        <v>0</v>
      </c>
      <c r="AI87" s="169"/>
      <c r="AJ87" s="169">
        <f t="shared" si="31"/>
        <v>0</v>
      </c>
      <c r="AK87" s="169">
        <f t="shared" si="32"/>
        <v>0</v>
      </c>
      <c r="AL87" s="169"/>
      <c r="AM87" s="169"/>
      <c r="AN87" s="169"/>
      <c r="AQ87" s="169"/>
      <c r="AW87" s="144">
        <f t="shared" si="33"/>
        <v>0</v>
      </c>
    </row>
    <row r="88" spans="1:49" ht="9.75" thickBot="1" x14ac:dyDescent="0.2">
      <c r="A88" s="175"/>
      <c r="B88" s="176"/>
      <c r="C88" s="176"/>
      <c r="D88" s="170" t="str">
        <f>VLOOKUP(C88,Tabelændringskode,2,1)</f>
        <v xml:space="preserve"> </v>
      </c>
      <c r="E88" s="178"/>
      <c r="F88" s="288">
        <v>0</v>
      </c>
      <c r="G88" s="178">
        <v>37</v>
      </c>
      <c r="H88" s="178">
        <v>37</v>
      </c>
      <c r="I88" s="178"/>
      <c r="J88" s="180"/>
      <c r="K88" s="178"/>
      <c r="L88" s="180"/>
      <c r="M88" s="180"/>
      <c r="N88" s="178"/>
      <c r="O88" s="178"/>
      <c r="P88" s="178"/>
      <c r="Q88" s="171">
        <f>AS88</f>
        <v>0</v>
      </c>
      <c r="R88" s="171">
        <f>AT88</f>
        <v>0</v>
      </c>
      <c r="S88" s="172">
        <f>AU88</f>
        <v>0</v>
      </c>
      <c r="U88" s="144">
        <f>IF(OR(C87=5,C88=5),0,1)</f>
        <v>1</v>
      </c>
      <c r="V88" s="144">
        <f t="shared" si="25"/>
        <v>0</v>
      </c>
      <c r="W88" s="144">
        <f t="shared" si="26"/>
        <v>0</v>
      </c>
      <c r="X88" s="144">
        <f t="shared" si="18"/>
        <v>0</v>
      </c>
      <c r="Y88" s="144">
        <f t="shared" si="27"/>
        <v>34.464599999999997</v>
      </c>
      <c r="Z88" s="169">
        <f t="shared" si="19"/>
        <v>0</v>
      </c>
      <c r="AA88" s="274">
        <f t="shared" si="20"/>
        <v>0</v>
      </c>
      <c r="AB88" s="169">
        <f t="shared" si="28"/>
        <v>0</v>
      </c>
      <c r="AC88" s="274">
        <f t="shared" si="21"/>
        <v>0</v>
      </c>
      <c r="AD88" s="169">
        <f t="shared" si="22"/>
        <v>0</v>
      </c>
      <c r="AE88" s="274">
        <f t="shared" si="23"/>
        <v>0</v>
      </c>
      <c r="AF88" s="169">
        <f t="shared" si="29"/>
        <v>0</v>
      </c>
      <c r="AG88" s="274">
        <f t="shared" si="24"/>
        <v>0</v>
      </c>
      <c r="AH88" s="169">
        <f t="shared" si="30"/>
        <v>0</v>
      </c>
      <c r="AI88" s="169"/>
      <c r="AJ88" s="169">
        <f t="shared" si="31"/>
        <v>0</v>
      </c>
      <c r="AK88" s="169">
        <f t="shared" si="32"/>
        <v>0</v>
      </c>
      <c r="AL88" s="169"/>
      <c r="AM88" s="169">
        <f>AK87*W87+AK88*W88</f>
        <v>0</v>
      </c>
      <c r="AN88" s="169">
        <f>(SUM(AD87:AG87)*W87+SUM(AD88:AG88)*W88)*12*VLOOKUP(C88,JNovergang,3,1)</f>
        <v>0</v>
      </c>
      <c r="AO88" s="169">
        <f>AM88-AN88</f>
        <v>0</v>
      </c>
      <c r="AP88" s="169">
        <f>M88*(100+X88)%</f>
        <v>0</v>
      </c>
      <c r="AQ88" s="274">
        <f>ROUND(M88*F88,2)</f>
        <v>0</v>
      </c>
      <c r="AS88" s="274">
        <f>ROUND((AP88+AQ88)+AM88*(N88/12),0)</f>
        <v>0</v>
      </c>
      <c r="AT88" s="274">
        <f>ROUND(AM88*(O88/12),0)</f>
        <v>0</v>
      </c>
      <c r="AU88" s="274">
        <f>ROUND(AM88*(P88/12)*U88,0)</f>
        <v>0</v>
      </c>
      <c r="AW88" s="144">
        <f t="shared" si="33"/>
        <v>0</v>
      </c>
    </row>
    <row r="89" spans="1:49" x14ac:dyDescent="0.15">
      <c r="A89" s="173"/>
      <c r="B89" s="174"/>
      <c r="C89" s="174"/>
      <c r="D89" s="165" t="str">
        <f t="shared" si="0"/>
        <v xml:space="preserve"> </v>
      </c>
      <c r="E89" s="177"/>
      <c r="F89" s="287">
        <v>0</v>
      </c>
      <c r="G89" s="177">
        <v>37</v>
      </c>
      <c r="H89" s="177">
        <v>37</v>
      </c>
      <c r="I89" s="177"/>
      <c r="J89" s="179"/>
      <c r="K89" s="177"/>
      <c r="L89" s="179"/>
      <c r="M89" s="166"/>
      <c r="N89" s="166"/>
      <c r="O89" s="166"/>
      <c r="P89" s="166"/>
      <c r="Q89" s="167"/>
      <c r="R89" s="167"/>
      <c r="S89" s="168"/>
      <c r="V89" s="144">
        <f t="shared" si="25"/>
        <v>0</v>
      </c>
      <c r="W89" s="144">
        <f t="shared" si="26"/>
        <v>0</v>
      </c>
      <c r="X89" s="144">
        <f t="shared" si="18"/>
        <v>0</v>
      </c>
      <c r="Y89" s="144">
        <f t="shared" si="27"/>
        <v>34.464599999999997</v>
      </c>
      <c r="Z89" s="169">
        <f t="shared" si="19"/>
        <v>0</v>
      </c>
      <c r="AA89" s="274">
        <f t="shared" si="20"/>
        <v>0</v>
      </c>
      <c r="AB89" s="169">
        <f t="shared" si="28"/>
        <v>0</v>
      </c>
      <c r="AC89" s="274">
        <f t="shared" si="21"/>
        <v>0</v>
      </c>
      <c r="AD89" s="169">
        <f t="shared" si="22"/>
        <v>0</v>
      </c>
      <c r="AE89" s="274">
        <f t="shared" si="23"/>
        <v>0</v>
      </c>
      <c r="AF89" s="169">
        <f t="shared" si="29"/>
        <v>0</v>
      </c>
      <c r="AG89" s="274">
        <f t="shared" si="24"/>
        <v>0</v>
      </c>
      <c r="AH89" s="169">
        <f t="shared" si="30"/>
        <v>0</v>
      </c>
      <c r="AI89" s="169"/>
      <c r="AJ89" s="169">
        <f t="shared" si="31"/>
        <v>0</v>
      </c>
      <c r="AK89" s="169">
        <f t="shared" si="32"/>
        <v>0</v>
      </c>
      <c r="AL89" s="169"/>
      <c r="AM89" s="169"/>
      <c r="AN89" s="169"/>
      <c r="AQ89" s="169"/>
      <c r="AW89" s="144">
        <f t="shared" si="33"/>
        <v>0</v>
      </c>
    </row>
    <row r="90" spans="1:49" ht="9.75" thickBot="1" x14ac:dyDescent="0.2">
      <c r="A90" s="175"/>
      <c r="B90" s="176"/>
      <c r="C90" s="176"/>
      <c r="D90" s="170" t="str">
        <f>VLOOKUP(C90,Tabelændringskode,2,1)</f>
        <v xml:space="preserve"> </v>
      </c>
      <c r="E90" s="178"/>
      <c r="F90" s="288">
        <v>0</v>
      </c>
      <c r="G90" s="178">
        <v>37</v>
      </c>
      <c r="H90" s="178">
        <v>37</v>
      </c>
      <c r="I90" s="178"/>
      <c r="J90" s="180"/>
      <c r="K90" s="178"/>
      <c r="L90" s="180"/>
      <c r="M90" s="180"/>
      <c r="N90" s="178"/>
      <c r="O90" s="178"/>
      <c r="P90" s="178"/>
      <c r="Q90" s="171">
        <f>AS90</f>
        <v>0</v>
      </c>
      <c r="R90" s="171">
        <f>AT90</f>
        <v>0</v>
      </c>
      <c r="S90" s="172">
        <f>AU90</f>
        <v>0</v>
      </c>
      <c r="U90" s="144">
        <f>IF(OR(C89=5,C90=5),0,1)</f>
        <v>1</v>
      </c>
      <c r="V90" s="144">
        <f t="shared" si="25"/>
        <v>0</v>
      </c>
      <c r="W90" s="144">
        <f t="shared" si="26"/>
        <v>0</v>
      </c>
      <c r="X90" s="144">
        <f t="shared" si="18"/>
        <v>0</v>
      </c>
      <c r="Y90" s="144">
        <f t="shared" si="27"/>
        <v>34.464599999999997</v>
      </c>
      <c r="Z90" s="169">
        <f t="shared" si="19"/>
        <v>0</v>
      </c>
      <c r="AA90" s="274">
        <f t="shared" si="20"/>
        <v>0</v>
      </c>
      <c r="AB90" s="169">
        <f t="shared" si="28"/>
        <v>0</v>
      </c>
      <c r="AC90" s="274">
        <f t="shared" si="21"/>
        <v>0</v>
      </c>
      <c r="AD90" s="169">
        <f t="shared" si="22"/>
        <v>0</v>
      </c>
      <c r="AE90" s="274">
        <f t="shared" si="23"/>
        <v>0</v>
      </c>
      <c r="AF90" s="169">
        <f t="shared" si="29"/>
        <v>0</v>
      </c>
      <c r="AG90" s="274">
        <f t="shared" si="24"/>
        <v>0</v>
      </c>
      <c r="AH90" s="169">
        <f t="shared" si="30"/>
        <v>0</v>
      </c>
      <c r="AI90" s="169"/>
      <c r="AJ90" s="169">
        <f t="shared" si="31"/>
        <v>0</v>
      </c>
      <c r="AK90" s="169">
        <f t="shared" si="32"/>
        <v>0</v>
      </c>
      <c r="AL90" s="169"/>
      <c r="AM90" s="169">
        <f>AK89*W89+AK90*W90</f>
        <v>0</v>
      </c>
      <c r="AN90" s="169">
        <f>(SUM(AD89:AG89)*W89+SUM(AD90:AG90)*W90)*12*VLOOKUP(C90,JNovergang,3,1)</f>
        <v>0</v>
      </c>
      <c r="AO90" s="169">
        <f>AM90-AN90</f>
        <v>0</v>
      </c>
      <c r="AP90" s="169">
        <f>M90*(100+X90)%</f>
        <v>0</v>
      </c>
      <c r="AQ90" s="274">
        <f>ROUND(M90*F90,2)</f>
        <v>0</v>
      </c>
      <c r="AS90" s="274">
        <f>ROUND((AP90+AQ90)+AM90*(N90/12),0)</f>
        <v>0</v>
      </c>
      <c r="AT90" s="274">
        <f>ROUND(AM90*(O90/12),0)</f>
        <v>0</v>
      </c>
      <c r="AU90" s="274">
        <f>ROUND(AM90*(P90/12)*U90,0)</f>
        <v>0</v>
      </c>
      <c r="AW90" s="144">
        <f t="shared" si="33"/>
        <v>0</v>
      </c>
    </row>
    <row r="91" spans="1:49" x14ac:dyDescent="0.15">
      <c r="A91" s="173"/>
      <c r="B91" s="174"/>
      <c r="C91" s="174"/>
      <c r="D91" s="165" t="str">
        <f t="shared" si="0"/>
        <v xml:space="preserve"> </v>
      </c>
      <c r="E91" s="177"/>
      <c r="F91" s="287">
        <v>0</v>
      </c>
      <c r="G91" s="177">
        <v>37</v>
      </c>
      <c r="H91" s="177">
        <v>37</v>
      </c>
      <c r="I91" s="177"/>
      <c r="J91" s="179"/>
      <c r="K91" s="177"/>
      <c r="L91" s="179"/>
      <c r="M91" s="166"/>
      <c r="N91" s="166"/>
      <c r="O91" s="166"/>
      <c r="P91" s="166"/>
      <c r="Q91" s="167"/>
      <c r="R91" s="167"/>
      <c r="S91" s="168"/>
      <c r="V91" s="144">
        <f t="shared" si="25"/>
        <v>0</v>
      </c>
      <c r="W91" s="144">
        <f t="shared" si="26"/>
        <v>0</v>
      </c>
      <c r="X91" s="144">
        <f t="shared" si="18"/>
        <v>0</v>
      </c>
      <c r="Y91" s="144">
        <f t="shared" si="27"/>
        <v>34.464599999999997</v>
      </c>
      <c r="Z91" s="169">
        <f t="shared" si="19"/>
        <v>0</v>
      </c>
      <c r="AA91" s="274">
        <f t="shared" si="20"/>
        <v>0</v>
      </c>
      <c r="AB91" s="169">
        <f t="shared" si="28"/>
        <v>0</v>
      </c>
      <c r="AC91" s="274">
        <f t="shared" si="21"/>
        <v>0</v>
      </c>
      <c r="AD91" s="169">
        <f t="shared" si="22"/>
        <v>0</v>
      </c>
      <c r="AE91" s="274">
        <f t="shared" si="23"/>
        <v>0</v>
      </c>
      <c r="AF91" s="169">
        <f t="shared" si="29"/>
        <v>0</v>
      </c>
      <c r="AG91" s="274">
        <f t="shared" si="24"/>
        <v>0</v>
      </c>
      <c r="AH91" s="169">
        <f t="shared" si="30"/>
        <v>0</v>
      </c>
      <c r="AI91" s="169"/>
      <c r="AJ91" s="169">
        <f t="shared" si="31"/>
        <v>0</v>
      </c>
      <c r="AK91" s="169">
        <f t="shared" si="32"/>
        <v>0</v>
      </c>
      <c r="AL91" s="169"/>
      <c r="AM91" s="169"/>
      <c r="AN91" s="169"/>
      <c r="AQ91" s="169"/>
      <c r="AW91" s="144">
        <f t="shared" si="33"/>
        <v>0</v>
      </c>
    </row>
    <row r="92" spans="1:49" ht="9.75" thickBot="1" x14ac:dyDescent="0.2">
      <c r="A92" s="175"/>
      <c r="B92" s="176"/>
      <c r="C92" s="176"/>
      <c r="D92" s="170" t="str">
        <f>VLOOKUP(C92,Tabelændringskode,2,1)</f>
        <v xml:space="preserve"> </v>
      </c>
      <c r="E92" s="178"/>
      <c r="F92" s="288">
        <v>0</v>
      </c>
      <c r="G92" s="178">
        <v>37</v>
      </c>
      <c r="H92" s="178">
        <v>37</v>
      </c>
      <c r="I92" s="178"/>
      <c r="J92" s="180"/>
      <c r="K92" s="178"/>
      <c r="L92" s="180"/>
      <c r="M92" s="180"/>
      <c r="N92" s="178"/>
      <c r="O92" s="178"/>
      <c r="P92" s="178"/>
      <c r="Q92" s="171">
        <f>AS92</f>
        <v>0</v>
      </c>
      <c r="R92" s="171">
        <f>AT92</f>
        <v>0</v>
      </c>
      <c r="S92" s="172">
        <f>AU92</f>
        <v>0</v>
      </c>
      <c r="U92" s="144">
        <f>IF(OR(C91=5,C92=5),0,1)</f>
        <v>1</v>
      </c>
      <c r="V92" s="144">
        <f t="shared" si="25"/>
        <v>0</v>
      </c>
      <c r="W92" s="144">
        <f t="shared" si="26"/>
        <v>0</v>
      </c>
      <c r="X92" s="144">
        <f t="shared" si="18"/>
        <v>0</v>
      </c>
      <c r="Y92" s="144">
        <f t="shared" si="27"/>
        <v>34.464599999999997</v>
      </c>
      <c r="Z92" s="169">
        <f t="shared" si="19"/>
        <v>0</v>
      </c>
      <c r="AA92" s="274">
        <f t="shared" si="20"/>
        <v>0</v>
      </c>
      <c r="AB92" s="169">
        <f t="shared" si="28"/>
        <v>0</v>
      </c>
      <c r="AC92" s="274">
        <f t="shared" si="21"/>
        <v>0</v>
      </c>
      <c r="AD92" s="169">
        <f t="shared" si="22"/>
        <v>0</v>
      </c>
      <c r="AE92" s="274">
        <f t="shared" si="23"/>
        <v>0</v>
      </c>
      <c r="AF92" s="169">
        <f t="shared" si="29"/>
        <v>0</v>
      </c>
      <c r="AG92" s="274">
        <f t="shared" si="24"/>
        <v>0</v>
      </c>
      <c r="AH92" s="169">
        <f t="shared" si="30"/>
        <v>0</v>
      </c>
      <c r="AI92" s="169"/>
      <c r="AJ92" s="169">
        <f t="shared" si="31"/>
        <v>0</v>
      </c>
      <c r="AK92" s="169">
        <f t="shared" si="32"/>
        <v>0</v>
      </c>
      <c r="AL92" s="169"/>
      <c r="AM92" s="169">
        <f>AK91*W91+AK92*W92</f>
        <v>0</v>
      </c>
      <c r="AN92" s="169">
        <f>(SUM(AD91:AG91)*W91+SUM(AD92:AG92)*W92)*12*VLOOKUP(C92,JNovergang,3,1)</f>
        <v>0</v>
      </c>
      <c r="AO92" s="169">
        <f>AM92-AN92</f>
        <v>0</v>
      </c>
      <c r="AP92" s="169">
        <f>M92*(100+X92)%</f>
        <v>0</v>
      </c>
      <c r="AQ92" s="274">
        <f>ROUND(M92*F92,2)</f>
        <v>0</v>
      </c>
      <c r="AS92" s="274">
        <f>ROUND((AP92+AQ92)+AM92*(N92/12),0)</f>
        <v>0</v>
      </c>
      <c r="AT92" s="274">
        <f>ROUND(AM92*(O92/12),0)</f>
        <v>0</v>
      </c>
      <c r="AU92" s="274">
        <f>ROUND(AM92*(P92/12)*U92,0)</f>
        <v>0</v>
      </c>
      <c r="AW92" s="144">
        <f t="shared" si="33"/>
        <v>0</v>
      </c>
    </row>
    <row r="93" spans="1:49" x14ac:dyDescent="0.15">
      <c r="A93" s="173"/>
      <c r="B93" s="174"/>
      <c r="C93" s="174"/>
      <c r="D93" s="165" t="str">
        <f t="shared" si="0"/>
        <v xml:space="preserve"> </v>
      </c>
      <c r="E93" s="177"/>
      <c r="F93" s="287">
        <v>0</v>
      </c>
      <c r="G93" s="177">
        <v>37</v>
      </c>
      <c r="H93" s="177">
        <v>37</v>
      </c>
      <c r="I93" s="177"/>
      <c r="J93" s="179"/>
      <c r="K93" s="177"/>
      <c r="L93" s="179"/>
      <c r="M93" s="166"/>
      <c r="N93" s="166"/>
      <c r="O93" s="166"/>
      <c r="P93" s="166"/>
      <c r="Q93" s="167"/>
      <c r="R93" s="167"/>
      <c r="S93" s="168"/>
      <c r="V93" s="144">
        <f t="shared" si="25"/>
        <v>0</v>
      </c>
      <c r="W93" s="144">
        <f t="shared" si="26"/>
        <v>0</v>
      </c>
      <c r="X93" s="144">
        <f t="shared" si="18"/>
        <v>0</v>
      </c>
      <c r="Y93" s="144">
        <f t="shared" si="27"/>
        <v>34.464599999999997</v>
      </c>
      <c r="Z93" s="169">
        <f t="shared" si="19"/>
        <v>0</v>
      </c>
      <c r="AA93" s="274">
        <f t="shared" si="20"/>
        <v>0</v>
      </c>
      <c r="AB93" s="169">
        <f t="shared" si="28"/>
        <v>0</v>
      </c>
      <c r="AC93" s="274">
        <f t="shared" si="21"/>
        <v>0</v>
      </c>
      <c r="AD93" s="169">
        <f t="shared" si="22"/>
        <v>0</v>
      </c>
      <c r="AE93" s="274">
        <f t="shared" si="23"/>
        <v>0</v>
      </c>
      <c r="AF93" s="169">
        <f t="shared" si="29"/>
        <v>0</v>
      </c>
      <c r="AG93" s="274">
        <f t="shared" si="24"/>
        <v>0</v>
      </c>
      <c r="AH93" s="169">
        <f t="shared" si="30"/>
        <v>0</v>
      </c>
      <c r="AI93" s="169"/>
      <c r="AJ93" s="169">
        <f t="shared" si="31"/>
        <v>0</v>
      </c>
      <c r="AK93" s="169">
        <f t="shared" si="32"/>
        <v>0</v>
      </c>
      <c r="AL93" s="169"/>
      <c r="AM93" s="169"/>
      <c r="AN93" s="169"/>
      <c r="AQ93" s="169"/>
      <c r="AW93" s="144">
        <f t="shared" si="33"/>
        <v>0</v>
      </c>
    </row>
    <row r="94" spans="1:49" ht="9.75" thickBot="1" x14ac:dyDescent="0.2">
      <c r="A94" s="175"/>
      <c r="B94" s="176"/>
      <c r="C94" s="176"/>
      <c r="D94" s="170" t="str">
        <f>VLOOKUP(C94,Tabelændringskode,2,1)</f>
        <v xml:space="preserve"> </v>
      </c>
      <c r="E94" s="178"/>
      <c r="F94" s="288">
        <v>0</v>
      </c>
      <c r="G94" s="178">
        <v>37</v>
      </c>
      <c r="H94" s="178">
        <v>37</v>
      </c>
      <c r="I94" s="178"/>
      <c r="J94" s="180"/>
      <c r="K94" s="178"/>
      <c r="L94" s="180"/>
      <c r="M94" s="180"/>
      <c r="N94" s="178"/>
      <c r="O94" s="178"/>
      <c r="P94" s="178"/>
      <c r="Q94" s="171">
        <f>AS94</f>
        <v>0</v>
      </c>
      <c r="R94" s="171">
        <f>AT94</f>
        <v>0</v>
      </c>
      <c r="S94" s="172">
        <f>AU94</f>
        <v>0</v>
      </c>
      <c r="U94" s="144">
        <f>IF(OR(C93=5,C94=5),0,1)</f>
        <v>1</v>
      </c>
      <c r="V94" s="144">
        <f t="shared" si="25"/>
        <v>0</v>
      </c>
      <c r="W94" s="144">
        <f t="shared" si="26"/>
        <v>0</v>
      </c>
      <c r="X94" s="144">
        <f t="shared" si="18"/>
        <v>0</v>
      </c>
      <c r="Y94" s="144">
        <f t="shared" si="27"/>
        <v>34.464599999999997</v>
      </c>
      <c r="Z94" s="169">
        <f t="shared" si="19"/>
        <v>0</v>
      </c>
      <c r="AA94" s="274">
        <f t="shared" si="20"/>
        <v>0</v>
      </c>
      <c r="AB94" s="169">
        <f t="shared" si="28"/>
        <v>0</v>
      </c>
      <c r="AC94" s="274">
        <f t="shared" si="21"/>
        <v>0</v>
      </c>
      <c r="AD94" s="169">
        <f t="shared" si="22"/>
        <v>0</v>
      </c>
      <c r="AE94" s="274">
        <f t="shared" si="23"/>
        <v>0</v>
      </c>
      <c r="AF94" s="169">
        <f t="shared" si="29"/>
        <v>0</v>
      </c>
      <c r="AG94" s="274">
        <f t="shared" si="24"/>
        <v>0</v>
      </c>
      <c r="AH94" s="169">
        <f t="shared" si="30"/>
        <v>0</v>
      </c>
      <c r="AI94" s="169"/>
      <c r="AJ94" s="169">
        <f t="shared" si="31"/>
        <v>0</v>
      </c>
      <c r="AK94" s="169">
        <f t="shared" si="32"/>
        <v>0</v>
      </c>
      <c r="AL94" s="169"/>
      <c r="AM94" s="169">
        <f>AK93*W93+AK94*W94</f>
        <v>0</v>
      </c>
      <c r="AN94" s="169">
        <f>(SUM(AD93:AG93)*W93+SUM(AD94:AG94)*W94)*12*VLOOKUP(C94,JNovergang,3,1)</f>
        <v>0</v>
      </c>
      <c r="AO94" s="169">
        <f>AM94-AN94</f>
        <v>0</v>
      </c>
      <c r="AP94" s="169">
        <f>M94*(100+X94)%</f>
        <v>0</v>
      </c>
      <c r="AQ94" s="274">
        <f>ROUND(M94*F94,2)</f>
        <v>0</v>
      </c>
      <c r="AS94" s="274">
        <f>ROUND((AP94+AQ94)+AM94*(N94/12),0)</f>
        <v>0</v>
      </c>
      <c r="AT94" s="274">
        <f>ROUND(AM94*(O94/12),0)</f>
        <v>0</v>
      </c>
      <c r="AU94" s="274">
        <f>ROUND(AM94*(P94/12)*U94,0)</f>
        <v>0</v>
      </c>
      <c r="AW94" s="144">
        <f t="shared" si="33"/>
        <v>0</v>
      </c>
    </row>
    <row r="95" spans="1:49" x14ac:dyDescent="0.15">
      <c r="A95" s="173"/>
      <c r="B95" s="174"/>
      <c r="C95" s="174"/>
      <c r="D95" s="165" t="str">
        <f t="shared" si="0"/>
        <v xml:space="preserve"> </v>
      </c>
      <c r="E95" s="177"/>
      <c r="F95" s="287">
        <v>0</v>
      </c>
      <c r="G95" s="177">
        <v>37</v>
      </c>
      <c r="H95" s="177">
        <v>37</v>
      </c>
      <c r="I95" s="177"/>
      <c r="J95" s="179"/>
      <c r="K95" s="177"/>
      <c r="L95" s="179"/>
      <c r="M95" s="166"/>
      <c r="N95" s="166"/>
      <c r="O95" s="166"/>
      <c r="P95" s="166"/>
      <c r="Q95" s="167"/>
      <c r="R95" s="167"/>
      <c r="S95" s="168"/>
      <c r="V95" s="144">
        <f t="shared" si="25"/>
        <v>0</v>
      </c>
      <c r="W95" s="144">
        <f t="shared" si="26"/>
        <v>0</v>
      </c>
      <c r="X95" s="144">
        <f t="shared" si="18"/>
        <v>0</v>
      </c>
      <c r="Y95" s="144">
        <f t="shared" si="27"/>
        <v>34.464599999999997</v>
      </c>
      <c r="Z95" s="169">
        <f t="shared" si="19"/>
        <v>0</v>
      </c>
      <c r="AA95" s="274">
        <f t="shared" si="20"/>
        <v>0</v>
      </c>
      <c r="AB95" s="169">
        <f t="shared" si="28"/>
        <v>0</v>
      </c>
      <c r="AC95" s="274">
        <f t="shared" si="21"/>
        <v>0</v>
      </c>
      <c r="AD95" s="169">
        <f t="shared" si="22"/>
        <v>0</v>
      </c>
      <c r="AE95" s="274">
        <f t="shared" si="23"/>
        <v>0</v>
      </c>
      <c r="AF95" s="169">
        <f t="shared" si="29"/>
        <v>0</v>
      </c>
      <c r="AG95" s="274">
        <f t="shared" si="24"/>
        <v>0</v>
      </c>
      <c r="AH95" s="169">
        <f t="shared" si="30"/>
        <v>0</v>
      </c>
      <c r="AI95" s="169"/>
      <c r="AJ95" s="169">
        <f t="shared" si="31"/>
        <v>0</v>
      </c>
      <c r="AK95" s="169">
        <f t="shared" si="32"/>
        <v>0</v>
      </c>
      <c r="AL95" s="169"/>
      <c r="AM95" s="169"/>
      <c r="AN95" s="169"/>
      <c r="AQ95" s="169"/>
      <c r="AW95" s="144">
        <f t="shared" si="33"/>
        <v>0</v>
      </c>
    </row>
    <row r="96" spans="1:49" ht="9.75" thickBot="1" x14ac:dyDescent="0.2">
      <c r="A96" s="175"/>
      <c r="B96" s="176"/>
      <c r="C96" s="176"/>
      <c r="D96" s="170" t="str">
        <f>VLOOKUP(C96,Tabelændringskode,2,1)</f>
        <v xml:space="preserve"> </v>
      </c>
      <c r="E96" s="178"/>
      <c r="F96" s="288">
        <v>0</v>
      </c>
      <c r="G96" s="178">
        <v>37</v>
      </c>
      <c r="H96" s="178">
        <v>37</v>
      </c>
      <c r="I96" s="178"/>
      <c r="J96" s="180"/>
      <c r="K96" s="178"/>
      <c r="L96" s="180"/>
      <c r="M96" s="180"/>
      <c r="N96" s="178"/>
      <c r="O96" s="178"/>
      <c r="P96" s="178"/>
      <c r="Q96" s="171">
        <f>AS96</f>
        <v>0</v>
      </c>
      <c r="R96" s="171">
        <f>AT96</f>
        <v>0</v>
      </c>
      <c r="S96" s="172">
        <f>AU96</f>
        <v>0</v>
      </c>
      <c r="U96" s="144">
        <f>IF(OR(C95=5,C96=5),0,1)</f>
        <v>1</v>
      </c>
      <c r="V96" s="144">
        <f t="shared" si="25"/>
        <v>0</v>
      </c>
      <c r="W96" s="144">
        <f t="shared" si="26"/>
        <v>0</v>
      </c>
      <c r="X96" s="144">
        <f t="shared" si="18"/>
        <v>0</v>
      </c>
      <c r="Y96" s="144">
        <f t="shared" si="27"/>
        <v>34.464599999999997</v>
      </c>
      <c r="Z96" s="169">
        <f t="shared" si="19"/>
        <v>0</v>
      </c>
      <c r="AA96" s="274">
        <f t="shared" si="20"/>
        <v>0</v>
      </c>
      <c r="AB96" s="169">
        <f t="shared" si="28"/>
        <v>0</v>
      </c>
      <c r="AC96" s="274">
        <f t="shared" si="21"/>
        <v>0</v>
      </c>
      <c r="AD96" s="169">
        <f t="shared" si="22"/>
        <v>0</v>
      </c>
      <c r="AE96" s="274">
        <f t="shared" si="23"/>
        <v>0</v>
      </c>
      <c r="AF96" s="169">
        <f t="shared" si="29"/>
        <v>0</v>
      </c>
      <c r="AG96" s="274">
        <f t="shared" si="24"/>
        <v>0</v>
      </c>
      <c r="AH96" s="169">
        <f t="shared" si="30"/>
        <v>0</v>
      </c>
      <c r="AI96" s="169"/>
      <c r="AJ96" s="169">
        <f t="shared" si="31"/>
        <v>0</v>
      </c>
      <c r="AK96" s="169">
        <f t="shared" si="32"/>
        <v>0</v>
      </c>
      <c r="AL96" s="169"/>
      <c r="AM96" s="169">
        <f>AK95*W95+AK96*W96</f>
        <v>0</v>
      </c>
      <c r="AN96" s="169">
        <f>(SUM(AD95:AG95)*W95+SUM(AD96:AG96)*W96)*12*VLOOKUP(C96,JNovergang,3,1)</f>
        <v>0</v>
      </c>
      <c r="AO96" s="169">
        <f>AM96-AN96</f>
        <v>0</v>
      </c>
      <c r="AP96" s="169">
        <f>M96*(100+X96)%</f>
        <v>0</v>
      </c>
      <c r="AQ96" s="274">
        <f>ROUND(M96*F96,2)</f>
        <v>0</v>
      </c>
      <c r="AS96" s="274">
        <f>ROUND((AP96+AQ96)+AM96*(N96/12),0)</f>
        <v>0</v>
      </c>
      <c r="AT96" s="274">
        <f>ROUND(AM96*(O96/12),0)</f>
        <v>0</v>
      </c>
      <c r="AU96" s="274">
        <f>ROUND(AM96*(P96/12)*U96,0)</f>
        <v>0</v>
      </c>
      <c r="AW96" s="144">
        <f t="shared" si="33"/>
        <v>0</v>
      </c>
    </row>
    <row r="97" spans="1:49" x14ac:dyDescent="0.15">
      <c r="A97" s="173"/>
      <c r="B97" s="174"/>
      <c r="C97" s="174"/>
      <c r="D97" s="165" t="str">
        <f t="shared" si="0"/>
        <v xml:space="preserve"> </v>
      </c>
      <c r="E97" s="177"/>
      <c r="F97" s="287">
        <v>0</v>
      </c>
      <c r="G97" s="177">
        <v>37</v>
      </c>
      <c r="H97" s="177">
        <v>37</v>
      </c>
      <c r="I97" s="177"/>
      <c r="J97" s="179"/>
      <c r="K97" s="177"/>
      <c r="L97" s="179"/>
      <c r="M97" s="166"/>
      <c r="N97" s="166"/>
      <c r="O97" s="166"/>
      <c r="P97" s="166"/>
      <c r="Q97" s="167"/>
      <c r="R97" s="167"/>
      <c r="S97" s="168"/>
      <c r="V97" s="144">
        <f t="shared" si="25"/>
        <v>0</v>
      </c>
      <c r="W97" s="144">
        <f t="shared" si="26"/>
        <v>0</v>
      </c>
      <c r="X97" s="144">
        <f t="shared" si="18"/>
        <v>0</v>
      </c>
      <c r="Y97" s="144">
        <f t="shared" si="27"/>
        <v>34.464599999999997</v>
      </c>
      <c r="Z97" s="169">
        <f t="shared" si="19"/>
        <v>0</v>
      </c>
      <c r="AA97" s="274">
        <f t="shared" si="20"/>
        <v>0</v>
      </c>
      <c r="AB97" s="169">
        <f t="shared" si="28"/>
        <v>0</v>
      </c>
      <c r="AC97" s="274">
        <f t="shared" si="21"/>
        <v>0</v>
      </c>
      <c r="AD97" s="169">
        <f t="shared" si="22"/>
        <v>0</v>
      </c>
      <c r="AE97" s="274">
        <f t="shared" si="23"/>
        <v>0</v>
      </c>
      <c r="AF97" s="169">
        <f t="shared" si="29"/>
        <v>0</v>
      </c>
      <c r="AG97" s="274">
        <f t="shared" si="24"/>
        <v>0</v>
      </c>
      <c r="AH97" s="169">
        <f t="shared" si="30"/>
        <v>0</v>
      </c>
      <c r="AI97" s="169"/>
      <c r="AJ97" s="169">
        <f t="shared" si="31"/>
        <v>0</v>
      </c>
      <c r="AK97" s="169">
        <f t="shared" si="32"/>
        <v>0</v>
      </c>
      <c r="AL97" s="169"/>
      <c r="AM97" s="169"/>
      <c r="AN97" s="169"/>
      <c r="AQ97" s="169"/>
      <c r="AW97" s="144">
        <f t="shared" si="33"/>
        <v>0</v>
      </c>
    </row>
    <row r="98" spans="1:49" ht="9.75" thickBot="1" x14ac:dyDescent="0.2">
      <c r="A98" s="175"/>
      <c r="B98" s="176"/>
      <c r="C98" s="176"/>
      <c r="D98" s="170" t="str">
        <f>VLOOKUP(C98,Tabelændringskode,2,1)</f>
        <v xml:space="preserve"> </v>
      </c>
      <c r="E98" s="178"/>
      <c r="F98" s="288">
        <v>0</v>
      </c>
      <c r="G98" s="178">
        <v>37</v>
      </c>
      <c r="H98" s="178">
        <v>37</v>
      </c>
      <c r="I98" s="178"/>
      <c r="J98" s="180"/>
      <c r="K98" s="178"/>
      <c r="L98" s="180"/>
      <c r="M98" s="180"/>
      <c r="N98" s="178"/>
      <c r="O98" s="178"/>
      <c r="P98" s="178"/>
      <c r="Q98" s="171">
        <f>AS98</f>
        <v>0</v>
      </c>
      <c r="R98" s="171">
        <f>AT98</f>
        <v>0</v>
      </c>
      <c r="S98" s="172">
        <f>AU98</f>
        <v>0</v>
      </c>
      <c r="U98" s="144">
        <f>IF(OR(C97=5,C98=5),0,1)</f>
        <v>1</v>
      </c>
      <c r="V98" s="144">
        <f t="shared" si="25"/>
        <v>0</v>
      </c>
      <c r="W98" s="144">
        <f t="shared" si="26"/>
        <v>0</v>
      </c>
      <c r="X98" s="144">
        <f t="shared" si="18"/>
        <v>0</v>
      </c>
      <c r="Y98" s="144">
        <f t="shared" si="27"/>
        <v>34.464599999999997</v>
      </c>
      <c r="Z98" s="169">
        <f t="shared" si="19"/>
        <v>0</v>
      </c>
      <c r="AA98" s="274">
        <f t="shared" si="20"/>
        <v>0</v>
      </c>
      <c r="AB98" s="169">
        <f t="shared" si="28"/>
        <v>0</v>
      </c>
      <c r="AC98" s="274">
        <f t="shared" si="21"/>
        <v>0</v>
      </c>
      <c r="AD98" s="169">
        <f t="shared" si="22"/>
        <v>0</v>
      </c>
      <c r="AE98" s="274">
        <f t="shared" si="23"/>
        <v>0</v>
      </c>
      <c r="AF98" s="169">
        <f t="shared" si="29"/>
        <v>0</v>
      </c>
      <c r="AG98" s="274">
        <f t="shared" si="24"/>
        <v>0</v>
      </c>
      <c r="AH98" s="169">
        <f t="shared" si="30"/>
        <v>0</v>
      </c>
      <c r="AI98" s="169"/>
      <c r="AJ98" s="169">
        <f t="shared" si="31"/>
        <v>0</v>
      </c>
      <c r="AK98" s="169">
        <f t="shared" si="32"/>
        <v>0</v>
      </c>
      <c r="AL98" s="169"/>
      <c r="AM98" s="169">
        <f>AK97*W97+AK98*W98</f>
        <v>0</v>
      </c>
      <c r="AN98" s="169">
        <f>(SUM(AD97:AG97)*W97+SUM(AD98:AG98)*W98)*12*VLOOKUP(C98,JNovergang,3,1)</f>
        <v>0</v>
      </c>
      <c r="AO98" s="169">
        <f>AM98-AN98</f>
        <v>0</v>
      </c>
      <c r="AP98" s="169">
        <f>M98*(100+X98)%</f>
        <v>0</v>
      </c>
      <c r="AQ98" s="274">
        <f>ROUND(M98*F98,2)</f>
        <v>0</v>
      </c>
      <c r="AS98" s="274">
        <f>ROUND((AP98+AQ98)+AM98*(N98/12),0)</f>
        <v>0</v>
      </c>
      <c r="AT98" s="274">
        <f>ROUND(AM98*(O98/12),0)</f>
        <v>0</v>
      </c>
      <c r="AU98" s="274">
        <f>ROUND(AM98*(P98/12)*U98,0)</f>
        <v>0</v>
      </c>
      <c r="AW98" s="144">
        <f t="shared" si="33"/>
        <v>0</v>
      </c>
    </row>
    <row r="99" spans="1:49" x14ac:dyDescent="0.15">
      <c r="A99" s="173"/>
      <c r="B99" s="174"/>
      <c r="C99" s="174"/>
      <c r="D99" s="165" t="str">
        <f t="shared" si="0"/>
        <v xml:space="preserve"> </v>
      </c>
      <c r="E99" s="177"/>
      <c r="F99" s="287">
        <v>0</v>
      </c>
      <c r="G99" s="177">
        <v>37</v>
      </c>
      <c r="H99" s="177">
        <v>37</v>
      </c>
      <c r="I99" s="177"/>
      <c r="J99" s="179"/>
      <c r="K99" s="177"/>
      <c r="L99" s="179"/>
      <c r="M99" s="166"/>
      <c r="N99" s="166"/>
      <c r="O99" s="166"/>
      <c r="P99" s="166"/>
      <c r="Q99" s="167"/>
      <c r="R99" s="167"/>
      <c r="S99" s="168"/>
      <c r="V99" s="144">
        <f t="shared" si="25"/>
        <v>0</v>
      </c>
      <c r="W99" s="144">
        <f t="shared" si="26"/>
        <v>0</v>
      </c>
      <c r="X99" s="144">
        <f t="shared" si="18"/>
        <v>0</v>
      </c>
      <c r="Y99" s="144">
        <f t="shared" si="27"/>
        <v>34.464599999999997</v>
      </c>
      <c r="Z99" s="169">
        <f t="shared" si="19"/>
        <v>0</v>
      </c>
      <c r="AA99" s="274">
        <f t="shared" si="20"/>
        <v>0</v>
      </c>
      <c r="AB99" s="169">
        <f t="shared" si="28"/>
        <v>0</v>
      </c>
      <c r="AC99" s="274">
        <f t="shared" si="21"/>
        <v>0</v>
      </c>
      <c r="AD99" s="169">
        <f t="shared" si="22"/>
        <v>0</v>
      </c>
      <c r="AE99" s="274">
        <f t="shared" si="23"/>
        <v>0</v>
      </c>
      <c r="AF99" s="169">
        <f t="shared" si="29"/>
        <v>0</v>
      </c>
      <c r="AG99" s="274">
        <f t="shared" si="24"/>
        <v>0</v>
      </c>
      <c r="AH99" s="169">
        <f t="shared" si="30"/>
        <v>0</v>
      </c>
      <c r="AI99" s="169"/>
      <c r="AJ99" s="169">
        <f t="shared" si="31"/>
        <v>0</v>
      </c>
      <c r="AK99" s="169">
        <f t="shared" si="32"/>
        <v>0</v>
      </c>
      <c r="AL99" s="169"/>
      <c r="AM99" s="169"/>
      <c r="AN99" s="169"/>
      <c r="AQ99" s="169"/>
      <c r="AW99" s="144">
        <f t="shared" si="33"/>
        <v>0</v>
      </c>
    </row>
    <row r="100" spans="1:49" ht="9.75" thickBot="1" x14ac:dyDescent="0.2">
      <c r="A100" s="175"/>
      <c r="B100" s="176"/>
      <c r="C100" s="176"/>
      <c r="D100" s="170" t="str">
        <f>VLOOKUP(C100,Tabelændringskode,2,1)</f>
        <v xml:space="preserve"> </v>
      </c>
      <c r="E100" s="178"/>
      <c r="F100" s="288">
        <v>0</v>
      </c>
      <c r="G100" s="178">
        <v>37</v>
      </c>
      <c r="H100" s="178">
        <v>37</v>
      </c>
      <c r="I100" s="178"/>
      <c r="J100" s="180"/>
      <c r="K100" s="178"/>
      <c r="L100" s="180"/>
      <c r="M100" s="180"/>
      <c r="N100" s="178"/>
      <c r="O100" s="178"/>
      <c r="P100" s="178"/>
      <c r="Q100" s="171">
        <f>AS100</f>
        <v>0</v>
      </c>
      <c r="R100" s="171">
        <f>AT100</f>
        <v>0</v>
      </c>
      <c r="S100" s="172">
        <f>AU100</f>
        <v>0</v>
      </c>
      <c r="U100" s="144">
        <f>IF(OR(C99=5,C100=5),0,1)</f>
        <v>1</v>
      </c>
      <c r="V100" s="144">
        <f t="shared" si="25"/>
        <v>0</v>
      </c>
      <c r="W100" s="144">
        <f t="shared" si="26"/>
        <v>0</v>
      </c>
      <c r="X100" s="144">
        <f t="shared" si="18"/>
        <v>0</v>
      </c>
      <c r="Y100" s="144">
        <f t="shared" si="27"/>
        <v>34.464599999999997</v>
      </c>
      <c r="Z100" s="169">
        <f t="shared" si="19"/>
        <v>0</v>
      </c>
      <c r="AA100" s="274">
        <f t="shared" si="20"/>
        <v>0</v>
      </c>
      <c r="AB100" s="169">
        <f t="shared" si="28"/>
        <v>0</v>
      </c>
      <c r="AC100" s="274">
        <f t="shared" si="21"/>
        <v>0</v>
      </c>
      <c r="AD100" s="169">
        <f t="shared" si="22"/>
        <v>0</v>
      </c>
      <c r="AE100" s="274">
        <f t="shared" si="23"/>
        <v>0</v>
      </c>
      <c r="AF100" s="169">
        <f t="shared" si="29"/>
        <v>0</v>
      </c>
      <c r="AG100" s="274">
        <f t="shared" si="24"/>
        <v>0</v>
      </c>
      <c r="AH100" s="169">
        <f t="shared" si="30"/>
        <v>0</v>
      </c>
      <c r="AI100" s="169"/>
      <c r="AJ100" s="169">
        <f t="shared" si="31"/>
        <v>0</v>
      </c>
      <c r="AK100" s="169">
        <f t="shared" si="32"/>
        <v>0</v>
      </c>
      <c r="AL100" s="169"/>
      <c r="AM100" s="169">
        <f>AK99*W99+AK100*W100</f>
        <v>0</v>
      </c>
      <c r="AN100" s="169">
        <f>(SUM(AD99:AG99)*W99+SUM(AD100:AG100)*W100)*12*VLOOKUP(C100,JNovergang,3,1)</f>
        <v>0</v>
      </c>
      <c r="AO100" s="169">
        <f>AM100-AN100</f>
        <v>0</v>
      </c>
      <c r="AP100" s="169">
        <f>M100*(100+X100)%</f>
        <v>0</v>
      </c>
      <c r="AQ100" s="274">
        <f>ROUND(M100*F100,2)</f>
        <v>0</v>
      </c>
      <c r="AS100" s="274">
        <f>ROUND((AP100+AQ100)+AM100*(N100/12),0)</f>
        <v>0</v>
      </c>
      <c r="AT100" s="274">
        <f>ROUND(AM100*(O100/12),0)</f>
        <v>0</v>
      </c>
      <c r="AU100" s="274">
        <f>ROUND(AM100*(P100/12)*U100,0)</f>
        <v>0</v>
      </c>
      <c r="AW100" s="144">
        <f t="shared" si="33"/>
        <v>0</v>
      </c>
    </row>
    <row r="101" spans="1:49" x14ac:dyDescent="0.15">
      <c r="A101" s="173"/>
      <c r="B101" s="174"/>
      <c r="C101" s="174"/>
      <c r="D101" s="165" t="str">
        <f t="shared" si="0"/>
        <v xml:space="preserve"> </v>
      </c>
      <c r="E101" s="177"/>
      <c r="F101" s="287">
        <v>0</v>
      </c>
      <c r="G101" s="177">
        <v>37</v>
      </c>
      <c r="H101" s="177">
        <v>37</v>
      </c>
      <c r="I101" s="177"/>
      <c r="J101" s="179"/>
      <c r="K101" s="177"/>
      <c r="L101" s="179"/>
      <c r="M101" s="166"/>
      <c r="N101" s="166"/>
      <c r="O101" s="166"/>
      <c r="P101" s="166"/>
      <c r="Q101" s="167"/>
      <c r="R101" s="167"/>
      <c r="S101" s="168"/>
      <c r="V101" s="144">
        <f t="shared" si="25"/>
        <v>0</v>
      </c>
      <c r="W101" s="144">
        <f t="shared" si="26"/>
        <v>0</v>
      </c>
      <c r="X101" s="144">
        <f t="shared" si="18"/>
        <v>0</v>
      </c>
      <c r="Y101" s="144">
        <f t="shared" si="27"/>
        <v>34.464599999999997</v>
      </c>
      <c r="Z101" s="169">
        <f t="shared" si="19"/>
        <v>0</v>
      </c>
      <c r="AA101" s="274">
        <f t="shared" si="20"/>
        <v>0</v>
      </c>
      <c r="AB101" s="169">
        <f t="shared" si="28"/>
        <v>0</v>
      </c>
      <c r="AC101" s="274">
        <f t="shared" si="21"/>
        <v>0</v>
      </c>
      <c r="AD101" s="169">
        <f t="shared" si="22"/>
        <v>0</v>
      </c>
      <c r="AE101" s="274">
        <f t="shared" si="23"/>
        <v>0</v>
      </c>
      <c r="AF101" s="169">
        <f t="shared" si="29"/>
        <v>0</v>
      </c>
      <c r="AG101" s="274">
        <f t="shared" si="24"/>
        <v>0</v>
      </c>
      <c r="AH101" s="169">
        <f t="shared" si="30"/>
        <v>0</v>
      </c>
      <c r="AI101" s="169"/>
      <c r="AJ101" s="169">
        <f t="shared" si="31"/>
        <v>0</v>
      </c>
      <c r="AK101" s="169">
        <f t="shared" si="32"/>
        <v>0</v>
      </c>
      <c r="AL101" s="169"/>
      <c r="AM101" s="169"/>
      <c r="AN101" s="169"/>
      <c r="AQ101" s="169"/>
      <c r="AW101" s="144">
        <f t="shared" si="33"/>
        <v>0</v>
      </c>
    </row>
    <row r="102" spans="1:49" ht="9.75" thickBot="1" x14ac:dyDescent="0.2">
      <c r="A102" s="175"/>
      <c r="B102" s="176"/>
      <c r="C102" s="176"/>
      <c r="D102" s="170" t="str">
        <f>VLOOKUP(C102,Tabelændringskode,2,1)</f>
        <v xml:space="preserve"> </v>
      </c>
      <c r="E102" s="178"/>
      <c r="F102" s="288">
        <v>0</v>
      </c>
      <c r="G102" s="178">
        <v>37</v>
      </c>
      <c r="H102" s="178">
        <v>37</v>
      </c>
      <c r="I102" s="178"/>
      <c r="J102" s="180"/>
      <c r="K102" s="178"/>
      <c r="L102" s="180"/>
      <c r="M102" s="180"/>
      <c r="N102" s="178"/>
      <c r="O102" s="178"/>
      <c r="P102" s="178"/>
      <c r="Q102" s="171">
        <f>AS102</f>
        <v>0</v>
      </c>
      <c r="R102" s="171">
        <f>AT102</f>
        <v>0</v>
      </c>
      <c r="S102" s="172">
        <f>AU102</f>
        <v>0</v>
      </c>
      <c r="U102" s="144">
        <f>IF(OR(C101=5,C102=5),0,1)</f>
        <v>1</v>
      </c>
      <c r="V102" s="144">
        <f t="shared" si="25"/>
        <v>0</v>
      </c>
      <c r="W102" s="144">
        <f t="shared" si="26"/>
        <v>0</v>
      </c>
      <c r="X102" s="144">
        <f t="shared" si="18"/>
        <v>0</v>
      </c>
      <c r="Y102" s="144">
        <f t="shared" si="27"/>
        <v>34.464599999999997</v>
      </c>
      <c r="Z102" s="169">
        <f t="shared" si="19"/>
        <v>0</v>
      </c>
      <c r="AA102" s="274">
        <f t="shared" si="20"/>
        <v>0</v>
      </c>
      <c r="AB102" s="169">
        <f t="shared" si="28"/>
        <v>0</v>
      </c>
      <c r="AC102" s="274">
        <f t="shared" si="21"/>
        <v>0</v>
      </c>
      <c r="AD102" s="169">
        <f t="shared" si="22"/>
        <v>0</v>
      </c>
      <c r="AE102" s="274">
        <f t="shared" si="23"/>
        <v>0</v>
      </c>
      <c r="AF102" s="169">
        <f t="shared" si="29"/>
        <v>0</v>
      </c>
      <c r="AG102" s="274">
        <f t="shared" si="24"/>
        <v>0</v>
      </c>
      <c r="AH102" s="169">
        <f t="shared" si="30"/>
        <v>0</v>
      </c>
      <c r="AI102" s="169"/>
      <c r="AJ102" s="169">
        <f t="shared" si="31"/>
        <v>0</v>
      </c>
      <c r="AK102" s="169">
        <f t="shared" si="32"/>
        <v>0</v>
      </c>
      <c r="AL102" s="169"/>
      <c r="AM102" s="169">
        <f>AK101*W101+AK102*W102</f>
        <v>0</v>
      </c>
      <c r="AN102" s="169">
        <f>(SUM(AD101:AG101)*W101+SUM(AD102:AG102)*W102)*12*VLOOKUP(C102,JNovergang,3,1)</f>
        <v>0</v>
      </c>
      <c r="AO102" s="169">
        <f>AM102-AN102</f>
        <v>0</v>
      </c>
      <c r="AP102" s="169">
        <f>M102*(100+X102)%</f>
        <v>0</v>
      </c>
      <c r="AQ102" s="274">
        <f>ROUND(M102*F102,2)</f>
        <v>0</v>
      </c>
      <c r="AS102" s="274">
        <f>ROUND((AP102+AQ102)+AM102*(N102/12),0)</f>
        <v>0</v>
      </c>
      <c r="AT102" s="274">
        <f>ROUND(AM102*(O102/12),0)</f>
        <v>0</v>
      </c>
      <c r="AU102" s="274">
        <f>ROUND(AM102*(P102/12)*U102,0)</f>
        <v>0</v>
      </c>
      <c r="AW102" s="144">
        <f t="shared" si="33"/>
        <v>0</v>
      </c>
    </row>
    <row r="103" spans="1:49" x14ac:dyDescent="0.15">
      <c r="A103" s="173"/>
      <c r="B103" s="174"/>
      <c r="C103" s="174"/>
      <c r="D103" s="165" t="str">
        <f t="shared" si="0"/>
        <v xml:space="preserve"> </v>
      </c>
      <c r="E103" s="177"/>
      <c r="F103" s="287">
        <v>0</v>
      </c>
      <c r="G103" s="177">
        <v>37</v>
      </c>
      <c r="H103" s="177">
        <v>37</v>
      </c>
      <c r="I103" s="177"/>
      <c r="J103" s="179"/>
      <c r="K103" s="177"/>
      <c r="L103" s="179"/>
      <c r="M103" s="166"/>
      <c r="N103" s="166"/>
      <c r="O103" s="166"/>
      <c r="P103" s="166"/>
      <c r="Q103" s="167"/>
      <c r="R103" s="167"/>
      <c r="S103" s="168"/>
      <c r="V103" s="144">
        <f t="shared" si="25"/>
        <v>0</v>
      </c>
      <c r="W103" s="144">
        <f t="shared" si="26"/>
        <v>0</v>
      </c>
      <c r="X103" s="144">
        <f t="shared" si="18"/>
        <v>0</v>
      </c>
      <c r="Y103" s="144">
        <f t="shared" si="27"/>
        <v>34.464599999999997</v>
      </c>
      <c r="Z103" s="169">
        <f t="shared" si="19"/>
        <v>0</v>
      </c>
      <c r="AA103" s="274">
        <f t="shared" si="20"/>
        <v>0</v>
      </c>
      <c r="AB103" s="169">
        <f t="shared" si="28"/>
        <v>0</v>
      </c>
      <c r="AC103" s="274">
        <f t="shared" si="21"/>
        <v>0</v>
      </c>
      <c r="AD103" s="169">
        <f t="shared" si="22"/>
        <v>0</v>
      </c>
      <c r="AE103" s="274">
        <f t="shared" si="23"/>
        <v>0</v>
      </c>
      <c r="AF103" s="169">
        <f t="shared" si="29"/>
        <v>0</v>
      </c>
      <c r="AG103" s="274">
        <f t="shared" si="24"/>
        <v>0</v>
      </c>
      <c r="AH103" s="169">
        <f t="shared" si="30"/>
        <v>0</v>
      </c>
      <c r="AI103" s="169"/>
      <c r="AJ103" s="169">
        <f t="shared" si="31"/>
        <v>0</v>
      </c>
      <c r="AK103" s="169">
        <f t="shared" si="32"/>
        <v>0</v>
      </c>
      <c r="AL103" s="169"/>
      <c r="AM103" s="169"/>
      <c r="AN103" s="169"/>
      <c r="AQ103" s="169"/>
      <c r="AW103" s="144">
        <f t="shared" si="33"/>
        <v>0</v>
      </c>
    </row>
    <row r="104" spans="1:49" ht="9.75" thickBot="1" x14ac:dyDescent="0.2">
      <c r="A104" s="175"/>
      <c r="B104" s="176"/>
      <c r="C104" s="176"/>
      <c r="D104" s="170" t="str">
        <f>VLOOKUP(C104,Tabelændringskode,2,1)</f>
        <v xml:space="preserve"> </v>
      </c>
      <c r="E104" s="178"/>
      <c r="F104" s="288">
        <v>0</v>
      </c>
      <c r="G104" s="178">
        <v>37</v>
      </c>
      <c r="H104" s="178">
        <v>37</v>
      </c>
      <c r="I104" s="178"/>
      <c r="J104" s="180"/>
      <c r="K104" s="178"/>
      <c r="L104" s="180"/>
      <c r="M104" s="180"/>
      <c r="N104" s="178"/>
      <c r="O104" s="178"/>
      <c r="P104" s="178"/>
      <c r="Q104" s="171">
        <f>AS104</f>
        <v>0</v>
      </c>
      <c r="R104" s="171">
        <f>AT104</f>
        <v>0</v>
      </c>
      <c r="S104" s="172">
        <f>AU104</f>
        <v>0</v>
      </c>
      <c r="U104" s="144">
        <f>IF(OR(C103=5,C104=5),0,1)</f>
        <v>1</v>
      </c>
      <c r="V104" s="144">
        <f t="shared" si="25"/>
        <v>0</v>
      </c>
      <c r="W104" s="144">
        <f t="shared" si="26"/>
        <v>0</v>
      </c>
      <c r="X104" s="144">
        <f t="shared" si="18"/>
        <v>0</v>
      </c>
      <c r="Y104" s="144">
        <f t="shared" si="27"/>
        <v>34.464599999999997</v>
      </c>
      <c r="Z104" s="169">
        <f t="shared" si="19"/>
        <v>0</v>
      </c>
      <c r="AA104" s="274">
        <f t="shared" si="20"/>
        <v>0</v>
      </c>
      <c r="AB104" s="169">
        <f t="shared" si="28"/>
        <v>0</v>
      </c>
      <c r="AC104" s="274">
        <f t="shared" si="21"/>
        <v>0</v>
      </c>
      <c r="AD104" s="169">
        <f t="shared" si="22"/>
        <v>0</v>
      </c>
      <c r="AE104" s="274">
        <f t="shared" si="23"/>
        <v>0</v>
      </c>
      <c r="AF104" s="169">
        <f t="shared" si="29"/>
        <v>0</v>
      </c>
      <c r="AG104" s="274">
        <f t="shared" si="24"/>
        <v>0</v>
      </c>
      <c r="AH104" s="169">
        <f t="shared" si="30"/>
        <v>0</v>
      </c>
      <c r="AI104" s="169"/>
      <c r="AJ104" s="169">
        <f t="shared" si="31"/>
        <v>0</v>
      </c>
      <c r="AK104" s="169">
        <f t="shared" si="32"/>
        <v>0</v>
      </c>
      <c r="AL104" s="169"/>
      <c r="AM104" s="169">
        <f>AK103*W103+AK104*W104</f>
        <v>0</v>
      </c>
      <c r="AN104" s="169">
        <f>(SUM(AD103:AG103)*W103+SUM(AD104:AG104)*W104)*12*VLOOKUP(C104,JNovergang,3,1)</f>
        <v>0</v>
      </c>
      <c r="AO104" s="169">
        <f>AM104-AN104</f>
        <v>0</v>
      </c>
      <c r="AP104" s="169">
        <f>M104*(100+X104)%</f>
        <v>0</v>
      </c>
      <c r="AQ104" s="274">
        <f>ROUND(M104*F104,2)</f>
        <v>0</v>
      </c>
      <c r="AS104" s="274">
        <f>ROUND((AP104+AQ104)+AM104*(N104/12),0)</f>
        <v>0</v>
      </c>
      <c r="AT104" s="274">
        <f>ROUND(AM104*(O104/12),0)</f>
        <v>0</v>
      </c>
      <c r="AU104" s="274">
        <f>ROUND(AM104*(P104/12)*U104,0)</f>
        <v>0</v>
      </c>
      <c r="AW104" s="144">
        <f t="shared" si="33"/>
        <v>0</v>
      </c>
    </row>
    <row r="105" spans="1:49" x14ac:dyDescent="0.15">
      <c r="A105" s="173"/>
      <c r="B105" s="174"/>
      <c r="C105" s="174"/>
      <c r="D105" s="165" t="str">
        <f t="shared" si="0"/>
        <v xml:space="preserve"> </v>
      </c>
      <c r="E105" s="177"/>
      <c r="F105" s="287">
        <v>0</v>
      </c>
      <c r="G105" s="177">
        <v>37</v>
      </c>
      <c r="H105" s="177">
        <v>37</v>
      </c>
      <c r="I105" s="177"/>
      <c r="J105" s="179"/>
      <c r="K105" s="177"/>
      <c r="L105" s="179"/>
      <c r="M105" s="166"/>
      <c r="N105" s="166"/>
      <c r="O105" s="166"/>
      <c r="P105" s="166"/>
      <c r="Q105" s="167"/>
      <c r="R105" s="167"/>
      <c r="S105" s="168"/>
      <c r="V105" s="144">
        <f t="shared" si="25"/>
        <v>0</v>
      </c>
      <c r="W105" s="144">
        <f t="shared" si="26"/>
        <v>0</v>
      </c>
      <c r="X105" s="144">
        <f t="shared" si="18"/>
        <v>0</v>
      </c>
      <c r="Y105" s="144">
        <f t="shared" si="27"/>
        <v>34.464599999999997</v>
      </c>
      <c r="Z105" s="169">
        <f t="shared" si="19"/>
        <v>0</v>
      </c>
      <c r="AA105" s="274">
        <f t="shared" si="20"/>
        <v>0</v>
      </c>
      <c r="AB105" s="169">
        <f t="shared" si="28"/>
        <v>0</v>
      </c>
      <c r="AC105" s="274">
        <f t="shared" si="21"/>
        <v>0</v>
      </c>
      <c r="AD105" s="169">
        <f t="shared" si="22"/>
        <v>0</v>
      </c>
      <c r="AE105" s="274">
        <f t="shared" si="23"/>
        <v>0</v>
      </c>
      <c r="AF105" s="169">
        <f t="shared" si="29"/>
        <v>0</v>
      </c>
      <c r="AG105" s="274">
        <f t="shared" si="24"/>
        <v>0</v>
      </c>
      <c r="AH105" s="169">
        <f t="shared" si="30"/>
        <v>0</v>
      </c>
      <c r="AI105" s="169"/>
      <c r="AJ105" s="169">
        <f t="shared" si="31"/>
        <v>0</v>
      </c>
      <c r="AK105" s="169">
        <f t="shared" si="32"/>
        <v>0</v>
      </c>
      <c r="AL105" s="169"/>
      <c r="AM105" s="169"/>
      <c r="AN105" s="169"/>
      <c r="AQ105" s="169"/>
      <c r="AW105" s="144">
        <f t="shared" si="33"/>
        <v>0</v>
      </c>
    </row>
    <row r="106" spans="1:49" ht="9.75" thickBot="1" x14ac:dyDescent="0.2">
      <c r="A106" s="175"/>
      <c r="B106" s="176"/>
      <c r="C106" s="176"/>
      <c r="D106" s="170" t="str">
        <f>VLOOKUP(C106,Tabelændringskode,2,1)</f>
        <v xml:space="preserve"> </v>
      </c>
      <c r="E106" s="178"/>
      <c r="F106" s="288">
        <v>0</v>
      </c>
      <c r="G106" s="178">
        <v>37</v>
      </c>
      <c r="H106" s="178">
        <v>37</v>
      </c>
      <c r="I106" s="178"/>
      <c r="J106" s="180"/>
      <c r="K106" s="178"/>
      <c r="L106" s="180"/>
      <c r="M106" s="180"/>
      <c r="N106" s="178"/>
      <c r="O106" s="178"/>
      <c r="P106" s="178"/>
      <c r="Q106" s="171">
        <f>AS106</f>
        <v>0</v>
      </c>
      <c r="R106" s="171">
        <f>AT106</f>
        <v>0</v>
      </c>
      <c r="S106" s="172">
        <f>AU106</f>
        <v>0</v>
      </c>
      <c r="U106" s="144">
        <f>IF(OR(C105=5,C106=5),0,1)</f>
        <v>1</v>
      </c>
      <c r="V106" s="144">
        <f t="shared" si="25"/>
        <v>0</v>
      </c>
      <c r="W106" s="144">
        <f t="shared" si="26"/>
        <v>0</v>
      </c>
      <c r="X106" s="144">
        <f t="shared" si="18"/>
        <v>0</v>
      </c>
      <c r="Y106" s="144">
        <f t="shared" si="27"/>
        <v>34.464599999999997</v>
      </c>
      <c r="Z106" s="169">
        <f t="shared" si="19"/>
        <v>0</v>
      </c>
      <c r="AA106" s="274">
        <f t="shared" si="20"/>
        <v>0</v>
      </c>
      <c r="AB106" s="169">
        <f t="shared" si="28"/>
        <v>0</v>
      </c>
      <c r="AC106" s="274">
        <f t="shared" si="21"/>
        <v>0</v>
      </c>
      <c r="AD106" s="169">
        <f t="shared" si="22"/>
        <v>0</v>
      </c>
      <c r="AE106" s="274">
        <f t="shared" si="23"/>
        <v>0</v>
      </c>
      <c r="AF106" s="169">
        <f t="shared" si="29"/>
        <v>0</v>
      </c>
      <c r="AG106" s="274">
        <f t="shared" si="24"/>
        <v>0</v>
      </c>
      <c r="AH106" s="169">
        <f t="shared" si="30"/>
        <v>0</v>
      </c>
      <c r="AI106" s="169"/>
      <c r="AJ106" s="169">
        <f t="shared" si="31"/>
        <v>0</v>
      </c>
      <c r="AK106" s="169">
        <f t="shared" si="32"/>
        <v>0</v>
      </c>
      <c r="AL106" s="169"/>
      <c r="AM106" s="169">
        <f>AK105*W105+AK106*W106</f>
        <v>0</v>
      </c>
      <c r="AN106" s="169">
        <f>(SUM(AD105:AG105)*W105+SUM(AD106:AG106)*W106)*12*VLOOKUP(C106,JNovergang,3,1)</f>
        <v>0</v>
      </c>
      <c r="AO106" s="169">
        <f>AM106-AN106</f>
        <v>0</v>
      </c>
      <c r="AP106" s="169">
        <f>M106*(100+X106)%</f>
        <v>0</v>
      </c>
      <c r="AQ106" s="274">
        <f>ROUND(M106*F106,2)</f>
        <v>0</v>
      </c>
      <c r="AS106" s="274">
        <f>ROUND((AP106+AQ106)+AM106*(N106/12),0)</f>
        <v>0</v>
      </c>
      <c r="AT106" s="274">
        <f>ROUND(AM106*(O106/12),0)</f>
        <v>0</v>
      </c>
      <c r="AU106" s="274">
        <f>ROUND(AM106*(P106/12)*U106,0)</f>
        <v>0</v>
      </c>
      <c r="AW106" s="144">
        <f t="shared" si="33"/>
        <v>0</v>
      </c>
    </row>
    <row r="107" spans="1:49" x14ac:dyDescent="0.15">
      <c r="A107" s="173"/>
      <c r="B107" s="174"/>
      <c r="C107" s="174"/>
      <c r="D107" s="165" t="str">
        <f t="shared" si="0"/>
        <v xml:space="preserve"> </v>
      </c>
      <c r="E107" s="177"/>
      <c r="F107" s="287">
        <v>0</v>
      </c>
      <c r="G107" s="177">
        <v>37</v>
      </c>
      <c r="H107" s="177">
        <v>37</v>
      </c>
      <c r="I107" s="177"/>
      <c r="J107" s="179"/>
      <c r="K107" s="177"/>
      <c r="L107" s="179"/>
      <c r="M107" s="166"/>
      <c r="N107" s="166"/>
      <c r="O107" s="166"/>
      <c r="P107" s="166"/>
      <c r="Q107" s="167"/>
      <c r="R107" s="167"/>
      <c r="S107" s="168"/>
      <c r="V107" s="144">
        <f t="shared" si="25"/>
        <v>0</v>
      </c>
      <c r="W107" s="144">
        <f t="shared" si="26"/>
        <v>0</v>
      </c>
      <c r="X107" s="144">
        <f t="shared" si="18"/>
        <v>0</v>
      </c>
      <c r="Y107" s="144">
        <f t="shared" si="27"/>
        <v>34.464599999999997</v>
      </c>
      <c r="Z107" s="169">
        <f t="shared" si="19"/>
        <v>0</v>
      </c>
      <c r="AA107" s="274">
        <f t="shared" si="20"/>
        <v>0</v>
      </c>
      <c r="AB107" s="169">
        <f t="shared" si="28"/>
        <v>0</v>
      </c>
      <c r="AC107" s="274">
        <f t="shared" si="21"/>
        <v>0</v>
      </c>
      <c r="AD107" s="169">
        <f t="shared" si="22"/>
        <v>0</v>
      </c>
      <c r="AE107" s="274">
        <f t="shared" si="23"/>
        <v>0</v>
      </c>
      <c r="AF107" s="169">
        <f t="shared" si="29"/>
        <v>0</v>
      </c>
      <c r="AG107" s="274">
        <f t="shared" si="24"/>
        <v>0</v>
      </c>
      <c r="AH107" s="169">
        <f t="shared" si="30"/>
        <v>0</v>
      </c>
      <c r="AI107" s="169"/>
      <c r="AJ107" s="169">
        <f t="shared" si="31"/>
        <v>0</v>
      </c>
      <c r="AK107" s="169">
        <f t="shared" si="32"/>
        <v>0</v>
      </c>
      <c r="AL107" s="169"/>
      <c r="AM107" s="169"/>
      <c r="AN107" s="169"/>
      <c r="AQ107" s="169"/>
      <c r="AW107" s="144">
        <f t="shared" si="33"/>
        <v>0</v>
      </c>
    </row>
    <row r="108" spans="1:49" ht="9.75" thickBot="1" x14ac:dyDescent="0.2">
      <c r="A108" s="175"/>
      <c r="B108" s="176"/>
      <c r="C108" s="176"/>
      <c r="D108" s="170" t="str">
        <f>VLOOKUP(C108,Tabelændringskode,2,1)</f>
        <v xml:space="preserve"> </v>
      </c>
      <c r="E108" s="178"/>
      <c r="F108" s="288">
        <v>0</v>
      </c>
      <c r="G108" s="178">
        <v>37</v>
      </c>
      <c r="H108" s="178">
        <v>37</v>
      </c>
      <c r="I108" s="178"/>
      <c r="J108" s="180"/>
      <c r="K108" s="178"/>
      <c r="L108" s="180"/>
      <c r="M108" s="180"/>
      <c r="N108" s="178"/>
      <c r="O108" s="178"/>
      <c r="P108" s="178"/>
      <c r="Q108" s="171">
        <f>AS108</f>
        <v>0</v>
      </c>
      <c r="R108" s="171">
        <f>AT108</f>
        <v>0</v>
      </c>
      <c r="S108" s="172">
        <f>AU108</f>
        <v>0</v>
      </c>
      <c r="U108" s="144">
        <f>IF(OR(C107=5,C108=5),0,1)</f>
        <v>1</v>
      </c>
      <c r="V108" s="144">
        <f t="shared" si="25"/>
        <v>0</v>
      </c>
      <c r="W108" s="144">
        <f t="shared" si="26"/>
        <v>0</v>
      </c>
      <c r="X108" s="144">
        <f t="shared" si="18"/>
        <v>0</v>
      </c>
      <c r="Y108" s="144">
        <f t="shared" si="27"/>
        <v>34.464599999999997</v>
      </c>
      <c r="Z108" s="169">
        <f t="shared" si="19"/>
        <v>0</v>
      </c>
      <c r="AA108" s="274">
        <f t="shared" si="20"/>
        <v>0</v>
      </c>
      <c r="AB108" s="169">
        <f t="shared" si="28"/>
        <v>0</v>
      </c>
      <c r="AC108" s="274">
        <f t="shared" si="21"/>
        <v>0</v>
      </c>
      <c r="AD108" s="169">
        <f t="shared" si="22"/>
        <v>0</v>
      </c>
      <c r="AE108" s="274">
        <f t="shared" si="23"/>
        <v>0</v>
      </c>
      <c r="AF108" s="169">
        <f t="shared" si="29"/>
        <v>0</v>
      </c>
      <c r="AG108" s="274">
        <f t="shared" si="24"/>
        <v>0</v>
      </c>
      <c r="AH108" s="169">
        <f t="shared" si="30"/>
        <v>0</v>
      </c>
      <c r="AI108" s="169"/>
      <c r="AJ108" s="169">
        <f t="shared" si="31"/>
        <v>0</v>
      </c>
      <c r="AK108" s="169">
        <f t="shared" si="32"/>
        <v>0</v>
      </c>
      <c r="AL108" s="169"/>
      <c r="AM108" s="169">
        <f>AK107*W107+AK108*W108</f>
        <v>0</v>
      </c>
      <c r="AN108" s="169">
        <f>(SUM(AD107:AG107)*W107+SUM(AD108:AG108)*W108)*12*VLOOKUP(C108,JNovergang,3,1)</f>
        <v>0</v>
      </c>
      <c r="AO108" s="169">
        <f>AM108-AN108</f>
        <v>0</v>
      </c>
      <c r="AP108" s="169">
        <f>M108*(100+X108)%</f>
        <v>0</v>
      </c>
      <c r="AQ108" s="274">
        <f>ROUND(M108*F108,2)</f>
        <v>0</v>
      </c>
      <c r="AS108" s="274">
        <f>ROUND((AP108+AQ108)+AM108*(N108/12),0)</f>
        <v>0</v>
      </c>
      <c r="AT108" s="274">
        <f>ROUND(AM108*(O108/12),0)</f>
        <v>0</v>
      </c>
      <c r="AU108" s="274">
        <f>ROUND(AM108*(P108/12)*U108,0)</f>
        <v>0</v>
      </c>
      <c r="AW108" s="144">
        <f t="shared" si="33"/>
        <v>0</v>
      </c>
    </row>
    <row r="109" spans="1:49" x14ac:dyDescent="0.15">
      <c r="A109" s="173"/>
      <c r="B109" s="174"/>
      <c r="C109" s="174"/>
      <c r="D109" s="165" t="str">
        <f t="shared" si="0"/>
        <v xml:space="preserve"> </v>
      </c>
      <c r="E109" s="177"/>
      <c r="F109" s="287">
        <v>0</v>
      </c>
      <c r="G109" s="177">
        <v>37</v>
      </c>
      <c r="H109" s="177">
        <v>37</v>
      </c>
      <c r="I109" s="177"/>
      <c r="J109" s="179"/>
      <c r="K109" s="177"/>
      <c r="L109" s="179"/>
      <c r="M109" s="166"/>
      <c r="N109" s="166"/>
      <c r="O109" s="166"/>
      <c r="P109" s="166"/>
      <c r="Q109" s="167"/>
      <c r="R109" s="167"/>
      <c r="S109" s="168"/>
      <c r="V109" s="144">
        <f t="shared" si="25"/>
        <v>0</v>
      </c>
      <c r="W109" s="144">
        <f t="shared" si="26"/>
        <v>0</v>
      </c>
      <c r="X109" s="144">
        <f t="shared" si="18"/>
        <v>0</v>
      </c>
      <c r="Y109" s="144">
        <f t="shared" si="27"/>
        <v>34.464599999999997</v>
      </c>
      <c r="Z109" s="169">
        <f t="shared" si="19"/>
        <v>0</v>
      </c>
      <c r="AA109" s="274">
        <f t="shared" si="20"/>
        <v>0</v>
      </c>
      <c r="AB109" s="169">
        <f t="shared" si="28"/>
        <v>0</v>
      </c>
      <c r="AC109" s="274">
        <f t="shared" si="21"/>
        <v>0</v>
      </c>
      <c r="AD109" s="169">
        <f t="shared" si="22"/>
        <v>0</v>
      </c>
      <c r="AE109" s="274">
        <f t="shared" si="23"/>
        <v>0</v>
      </c>
      <c r="AF109" s="169">
        <f t="shared" si="29"/>
        <v>0</v>
      </c>
      <c r="AG109" s="274">
        <f t="shared" si="24"/>
        <v>0</v>
      </c>
      <c r="AH109" s="169">
        <f t="shared" si="30"/>
        <v>0</v>
      </c>
      <c r="AI109" s="169"/>
      <c r="AJ109" s="169">
        <f t="shared" si="31"/>
        <v>0</v>
      </c>
      <c r="AK109" s="169">
        <f t="shared" si="32"/>
        <v>0</v>
      </c>
      <c r="AL109" s="169"/>
      <c r="AM109" s="169"/>
      <c r="AN109" s="169"/>
      <c r="AQ109" s="169"/>
      <c r="AW109" s="144">
        <f t="shared" si="33"/>
        <v>0</v>
      </c>
    </row>
    <row r="110" spans="1:49" ht="9.75" thickBot="1" x14ac:dyDescent="0.2">
      <c r="A110" s="175"/>
      <c r="B110" s="176"/>
      <c r="C110" s="176"/>
      <c r="D110" s="170" t="str">
        <f>VLOOKUP(C110,Tabelændringskode,2,1)</f>
        <v xml:space="preserve"> </v>
      </c>
      <c r="E110" s="178"/>
      <c r="F110" s="288">
        <v>0</v>
      </c>
      <c r="G110" s="178">
        <v>37</v>
      </c>
      <c r="H110" s="178">
        <v>37</v>
      </c>
      <c r="I110" s="178"/>
      <c r="J110" s="180"/>
      <c r="K110" s="178"/>
      <c r="L110" s="180"/>
      <c r="M110" s="180"/>
      <c r="N110" s="178"/>
      <c r="O110" s="178"/>
      <c r="P110" s="178"/>
      <c r="Q110" s="171">
        <f>AS110</f>
        <v>0</v>
      </c>
      <c r="R110" s="171">
        <f>AT110</f>
        <v>0</v>
      </c>
      <c r="S110" s="172">
        <f>AU110</f>
        <v>0</v>
      </c>
      <c r="U110" s="144">
        <f>IF(OR(C109=5,C110=5),0,1)</f>
        <v>1</v>
      </c>
      <c r="V110" s="144">
        <f t="shared" si="25"/>
        <v>0</v>
      </c>
      <c r="W110" s="144">
        <f t="shared" si="26"/>
        <v>0</v>
      </c>
      <c r="X110" s="144">
        <f t="shared" si="18"/>
        <v>0</v>
      </c>
      <c r="Y110" s="144">
        <f t="shared" si="27"/>
        <v>34.464599999999997</v>
      </c>
      <c r="Z110" s="169">
        <f t="shared" si="19"/>
        <v>0</v>
      </c>
      <c r="AA110" s="274">
        <f t="shared" si="20"/>
        <v>0</v>
      </c>
      <c r="AB110" s="169">
        <f t="shared" si="28"/>
        <v>0</v>
      </c>
      <c r="AC110" s="274">
        <f t="shared" si="21"/>
        <v>0</v>
      </c>
      <c r="AD110" s="169">
        <f t="shared" si="22"/>
        <v>0</v>
      </c>
      <c r="AE110" s="274">
        <f t="shared" si="23"/>
        <v>0</v>
      </c>
      <c r="AF110" s="169">
        <f t="shared" si="29"/>
        <v>0</v>
      </c>
      <c r="AG110" s="274">
        <f t="shared" si="24"/>
        <v>0</v>
      </c>
      <c r="AH110" s="169">
        <f t="shared" si="30"/>
        <v>0</v>
      </c>
      <c r="AI110" s="169"/>
      <c r="AJ110" s="169">
        <f t="shared" si="31"/>
        <v>0</v>
      </c>
      <c r="AK110" s="169">
        <f t="shared" si="32"/>
        <v>0</v>
      </c>
      <c r="AL110" s="169"/>
      <c r="AM110" s="169">
        <f>AK109*W109+AK110*W110</f>
        <v>0</v>
      </c>
      <c r="AN110" s="169">
        <f>(SUM(AD109:AG109)*W109+SUM(AD110:AG110)*W110)*12*VLOOKUP(C110,JNovergang,3,1)</f>
        <v>0</v>
      </c>
      <c r="AO110" s="169">
        <f>AM110-AN110</f>
        <v>0</v>
      </c>
      <c r="AP110" s="169">
        <f>M110*(100+X110)%</f>
        <v>0</v>
      </c>
      <c r="AQ110" s="274">
        <f>ROUND(M110*F110,2)</f>
        <v>0</v>
      </c>
      <c r="AS110" s="274">
        <f>ROUND((AP110+AQ110)+AM110*(N110/12),0)</f>
        <v>0</v>
      </c>
      <c r="AT110" s="274">
        <f>ROUND(AM110*(O110/12),0)</f>
        <v>0</v>
      </c>
      <c r="AU110" s="274">
        <f>ROUND(AM110*(P110/12)*U110,0)</f>
        <v>0</v>
      </c>
      <c r="AW110" s="144">
        <f t="shared" si="33"/>
        <v>0</v>
      </c>
    </row>
    <row r="111" spans="1:49" x14ac:dyDescent="0.15">
      <c r="A111" s="173"/>
      <c r="B111" s="174"/>
      <c r="C111" s="174"/>
      <c r="D111" s="165" t="str">
        <f t="shared" si="0"/>
        <v xml:space="preserve"> </v>
      </c>
      <c r="E111" s="177"/>
      <c r="F111" s="287">
        <v>0</v>
      </c>
      <c r="G111" s="177">
        <v>37</v>
      </c>
      <c r="H111" s="177">
        <v>37</v>
      </c>
      <c r="I111" s="177"/>
      <c r="J111" s="179"/>
      <c r="K111" s="177"/>
      <c r="L111" s="179"/>
      <c r="M111" s="166"/>
      <c r="N111" s="166"/>
      <c r="O111" s="166"/>
      <c r="P111" s="166"/>
      <c r="Q111" s="167"/>
      <c r="R111" s="167"/>
      <c r="S111" s="168"/>
      <c r="V111" s="144">
        <f t="shared" si="25"/>
        <v>0</v>
      </c>
      <c r="W111" s="144">
        <f t="shared" si="26"/>
        <v>0</v>
      </c>
      <c r="X111" s="144">
        <f t="shared" si="18"/>
        <v>0</v>
      </c>
      <c r="Y111" s="144">
        <f t="shared" si="27"/>
        <v>34.464599999999997</v>
      </c>
      <c r="Z111" s="169">
        <f t="shared" si="19"/>
        <v>0</v>
      </c>
      <c r="AA111" s="274">
        <f t="shared" si="20"/>
        <v>0</v>
      </c>
      <c r="AB111" s="169">
        <f t="shared" si="28"/>
        <v>0</v>
      </c>
      <c r="AC111" s="274">
        <f t="shared" si="21"/>
        <v>0</v>
      </c>
      <c r="AD111" s="169">
        <f t="shared" si="22"/>
        <v>0</v>
      </c>
      <c r="AE111" s="274">
        <f t="shared" si="23"/>
        <v>0</v>
      </c>
      <c r="AF111" s="169">
        <f t="shared" si="29"/>
        <v>0</v>
      </c>
      <c r="AG111" s="274">
        <f t="shared" si="24"/>
        <v>0</v>
      </c>
      <c r="AH111" s="169">
        <f t="shared" si="30"/>
        <v>0</v>
      </c>
      <c r="AI111" s="169"/>
      <c r="AJ111" s="169">
        <f t="shared" si="31"/>
        <v>0</v>
      </c>
      <c r="AK111" s="169">
        <f t="shared" si="32"/>
        <v>0</v>
      </c>
      <c r="AL111" s="169"/>
      <c r="AM111" s="169"/>
      <c r="AN111" s="169"/>
      <c r="AQ111" s="169"/>
      <c r="AW111" s="144">
        <f t="shared" si="33"/>
        <v>0</v>
      </c>
    </row>
    <row r="112" spans="1:49" ht="9.75" thickBot="1" x14ac:dyDescent="0.2">
      <c r="A112" s="175"/>
      <c r="B112" s="176"/>
      <c r="C112" s="176"/>
      <c r="D112" s="170" t="str">
        <f t="shared" ref="D112:D175" si="34">VLOOKUP(C112,Tabelændringskode,2,1)</f>
        <v xml:space="preserve"> </v>
      </c>
      <c r="E112" s="178"/>
      <c r="F112" s="288">
        <v>0</v>
      </c>
      <c r="G112" s="178">
        <v>37</v>
      </c>
      <c r="H112" s="178">
        <v>37</v>
      </c>
      <c r="I112" s="178"/>
      <c r="J112" s="180"/>
      <c r="K112" s="178"/>
      <c r="L112" s="180"/>
      <c r="M112" s="180"/>
      <c r="N112" s="178"/>
      <c r="O112" s="178"/>
      <c r="P112" s="178"/>
      <c r="Q112" s="171">
        <f>AS112</f>
        <v>0</v>
      </c>
      <c r="R112" s="171">
        <f>AT112</f>
        <v>0</v>
      </c>
      <c r="S112" s="172">
        <f>AU112</f>
        <v>0</v>
      </c>
      <c r="U112" s="144">
        <f>IF(OR(C111=5,C112=5),0,1)</f>
        <v>1</v>
      </c>
      <c r="V112" s="144">
        <f t="shared" si="25"/>
        <v>0</v>
      </c>
      <c r="W112" s="144">
        <f t="shared" si="26"/>
        <v>0</v>
      </c>
      <c r="X112" s="144">
        <f t="shared" si="18"/>
        <v>0</v>
      </c>
      <c r="Y112" s="144">
        <f t="shared" si="27"/>
        <v>34.464599999999997</v>
      </c>
      <c r="Z112" s="169">
        <f t="shared" si="19"/>
        <v>0</v>
      </c>
      <c r="AA112" s="274">
        <f t="shared" si="20"/>
        <v>0</v>
      </c>
      <c r="AB112" s="169">
        <f t="shared" si="28"/>
        <v>0</v>
      </c>
      <c r="AC112" s="274">
        <f t="shared" si="21"/>
        <v>0</v>
      </c>
      <c r="AD112" s="169">
        <f t="shared" si="22"/>
        <v>0</v>
      </c>
      <c r="AE112" s="274">
        <f t="shared" si="23"/>
        <v>0</v>
      </c>
      <c r="AF112" s="169">
        <f t="shared" si="29"/>
        <v>0</v>
      </c>
      <c r="AG112" s="274">
        <f t="shared" si="24"/>
        <v>0</v>
      </c>
      <c r="AH112" s="169">
        <f t="shared" si="30"/>
        <v>0</v>
      </c>
      <c r="AI112" s="169"/>
      <c r="AJ112" s="169">
        <f t="shared" si="31"/>
        <v>0</v>
      </c>
      <c r="AK112" s="169">
        <f t="shared" si="32"/>
        <v>0</v>
      </c>
      <c r="AL112" s="169"/>
      <c r="AM112" s="169">
        <f>AK111*W111+AK112*W112</f>
        <v>0</v>
      </c>
      <c r="AN112" s="169">
        <f>(SUM(AD111:AG111)*W111+SUM(AD112:AG112)*W112)*12*VLOOKUP(C112,JNovergang,3,1)</f>
        <v>0</v>
      </c>
      <c r="AO112" s="169">
        <f>AM112-AN112</f>
        <v>0</v>
      </c>
      <c r="AP112" s="169">
        <f>M112*(100+X112)%</f>
        <v>0</v>
      </c>
      <c r="AQ112" s="274">
        <f>ROUND(M112*F112,2)</f>
        <v>0</v>
      </c>
      <c r="AS112" s="274">
        <f>ROUND((AP112+AQ112)+AM112*(N112/12),0)</f>
        <v>0</v>
      </c>
      <c r="AT112" s="274">
        <f>ROUND(AM112*(O112/12),0)</f>
        <v>0</v>
      </c>
      <c r="AU112" s="274">
        <f>ROUND(AM112*(P112/12)*U112,0)</f>
        <v>0</v>
      </c>
      <c r="AW112" s="144">
        <f t="shared" si="33"/>
        <v>0</v>
      </c>
    </row>
    <row r="113" spans="1:49" x14ac:dyDescent="0.15">
      <c r="A113" s="173"/>
      <c r="B113" s="174"/>
      <c r="C113" s="174"/>
      <c r="D113" s="165" t="str">
        <f t="shared" si="34"/>
        <v xml:space="preserve"> </v>
      </c>
      <c r="E113" s="177"/>
      <c r="F113" s="287">
        <v>0</v>
      </c>
      <c r="G113" s="177">
        <v>37</v>
      </c>
      <c r="H113" s="177">
        <v>37</v>
      </c>
      <c r="I113" s="177"/>
      <c r="J113" s="179"/>
      <c r="K113" s="177"/>
      <c r="L113" s="179"/>
      <c r="M113" s="166"/>
      <c r="N113" s="166"/>
      <c r="O113" s="166"/>
      <c r="P113" s="166"/>
      <c r="Q113" s="167"/>
      <c r="R113" s="167"/>
      <c r="S113" s="168"/>
      <c r="V113" s="144">
        <f t="shared" si="25"/>
        <v>0</v>
      </c>
      <c r="W113" s="144">
        <f t="shared" si="26"/>
        <v>0</v>
      </c>
      <c r="X113" s="144">
        <f t="shared" si="18"/>
        <v>0</v>
      </c>
      <c r="Y113" s="144">
        <f t="shared" si="27"/>
        <v>34.464599999999997</v>
      </c>
      <c r="Z113" s="169">
        <f t="shared" si="19"/>
        <v>0</v>
      </c>
      <c r="AA113" s="274">
        <f t="shared" si="20"/>
        <v>0</v>
      </c>
      <c r="AB113" s="169">
        <f t="shared" si="28"/>
        <v>0</v>
      </c>
      <c r="AC113" s="274">
        <f t="shared" si="21"/>
        <v>0</v>
      </c>
      <c r="AD113" s="169">
        <f t="shared" si="22"/>
        <v>0</v>
      </c>
      <c r="AE113" s="274">
        <f t="shared" si="23"/>
        <v>0</v>
      </c>
      <c r="AF113" s="169">
        <f t="shared" si="29"/>
        <v>0</v>
      </c>
      <c r="AG113" s="274">
        <f t="shared" si="24"/>
        <v>0</v>
      </c>
      <c r="AH113" s="169">
        <f t="shared" si="30"/>
        <v>0</v>
      </c>
      <c r="AI113" s="169"/>
      <c r="AJ113" s="169">
        <f t="shared" si="31"/>
        <v>0</v>
      </c>
      <c r="AK113" s="169">
        <f t="shared" si="32"/>
        <v>0</v>
      </c>
      <c r="AL113" s="169"/>
      <c r="AM113" s="169"/>
      <c r="AN113" s="169"/>
      <c r="AQ113" s="169"/>
      <c r="AW113" s="144">
        <f t="shared" si="33"/>
        <v>0</v>
      </c>
    </row>
    <row r="114" spans="1:49" ht="9.75" thickBot="1" x14ac:dyDescent="0.2">
      <c r="A114" s="175"/>
      <c r="B114" s="176"/>
      <c r="C114" s="176"/>
      <c r="D114" s="170" t="str">
        <f t="shared" si="34"/>
        <v xml:space="preserve"> </v>
      </c>
      <c r="E114" s="178"/>
      <c r="F114" s="288">
        <v>0</v>
      </c>
      <c r="G114" s="178">
        <v>37</v>
      </c>
      <c r="H114" s="178">
        <v>37</v>
      </c>
      <c r="I114" s="178"/>
      <c r="J114" s="180"/>
      <c r="K114" s="178"/>
      <c r="L114" s="180"/>
      <c r="M114" s="180"/>
      <c r="N114" s="178"/>
      <c r="O114" s="178"/>
      <c r="P114" s="178"/>
      <c r="Q114" s="171">
        <f>AS114</f>
        <v>0</v>
      </c>
      <c r="R114" s="171">
        <f>AT114</f>
        <v>0</v>
      </c>
      <c r="S114" s="172">
        <f>AU114</f>
        <v>0</v>
      </c>
      <c r="U114" s="144">
        <f>IF(OR(C113=5,C114=5),0,1)</f>
        <v>1</v>
      </c>
      <c r="V114" s="144">
        <f t="shared" si="25"/>
        <v>0</v>
      </c>
      <c r="W114" s="144">
        <f t="shared" si="26"/>
        <v>0</v>
      </c>
      <c r="X114" s="144">
        <f t="shared" si="18"/>
        <v>0</v>
      </c>
      <c r="Y114" s="144">
        <f t="shared" si="27"/>
        <v>34.464599999999997</v>
      </c>
      <c r="Z114" s="169">
        <f t="shared" si="19"/>
        <v>0</v>
      </c>
      <c r="AA114" s="274">
        <f t="shared" si="20"/>
        <v>0</v>
      </c>
      <c r="AB114" s="169">
        <f t="shared" si="28"/>
        <v>0</v>
      </c>
      <c r="AC114" s="274">
        <f t="shared" si="21"/>
        <v>0</v>
      </c>
      <c r="AD114" s="169">
        <f t="shared" si="22"/>
        <v>0</v>
      </c>
      <c r="AE114" s="274">
        <f t="shared" si="23"/>
        <v>0</v>
      </c>
      <c r="AF114" s="169">
        <f t="shared" si="29"/>
        <v>0</v>
      </c>
      <c r="AG114" s="274">
        <f t="shared" si="24"/>
        <v>0</v>
      </c>
      <c r="AH114" s="169">
        <f t="shared" si="30"/>
        <v>0</v>
      </c>
      <c r="AI114" s="169"/>
      <c r="AJ114" s="169">
        <f t="shared" si="31"/>
        <v>0</v>
      </c>
      <c r="AK114" s="169">
        <f t="shared" si="32"/>
        <v>0</v>
      </c>
      <c r="AL114" s="169"/>
      <c r="AM114" s="169">
        <f>AK113*W113+AK114*W114</f>
        <v>0</v>
      </c>
      <c r="AN114" s="169">
        <f>(SUM(AD113:AG113)*W113+SUM(AD114:AG114)*W114)*12*VLOOKUP(C114,JNovergang,3,1)</f>
        <v>0</v>
      </c>
      <c r="AO114" s="169">
        <f>AM114-AN114</f>
        <v>0</v>
      </c>
      <c r="AP114" s="169">
        <f>M114*(100+X114)%</f>
        <v>0</v>
      </c>
      <c r="AQ114" s="274">
        <f>ROUND(M114*F114,2)</f>
        <v>0</v>
      </c>
      <c r="AS114" s="274">
        <f>ROUND((AP114+AQ114)+AM114*(N114/12),0)</f>
        <v>0</v>
      </c>
      <c r="AT114" s="274">
        <f>ROUND(AM114*(O114/12),0)</f>
        <v>0</v>
      </c>
      <c r="AU114" s="274">
        <f>ROUND(AM114*(P114/12)*U114,0)</f>
        <v>0</v>
      </c>
      <c r="AW114" s="144">
        <f t="shared" si="33"/>
        <v>0</v>
      </c>
    </row>
    <row r="115" spans="1:49" x14ac:dyDescent="0.15">
      <c r="A115" s="173"/>
      <c r="B115" s="174"/>
      <c r="C115" s="174"/>
      <c r="D115" s="165" t="str">
        <f t="shared" si="34"/>
        <v xml:space="preserve"> </v>
      </c>
      <c r="E115" s="177"/>
      <c r="F115" s="287">
        <v>0</v>
      </c>
      <c r="G115" s="177">
        <v>37</v>
      </c>
      <c r="H115" s="177">
        <v>37</v>
      </c>
      <c r="I115" s="177"/>
      <c r="J115" s="179"/>
      <c r="K115" s="177"/>
      <c r="L115" s="179"/>
      <c r="M115" s="166"/>
      <c r="N115" s="166"/>
      <c r="O115" s="166"/>
      <c r="P115" s="166"/>
      <c r="Q115" s="167"/>
      <c r="R115" s="167"/>
      <c r="S115" s="168"/>
      <c r="V115" s="144">
        <f t="shared" si="25"/>
        <v>0</v>
      </c>
      <c r="W115" s="144">
        <f t="shared" si="26"/>
        <v>0</v>
      </c>
      <c r="X115" s="144">
        <f t="shared" ref="X115:X178" si="35">VLOOKUP(C115,JNferiepenge,3,1)</f>
        <v>0</v>
      </c>
      <c r="Y115" s="144">
        <f t="shared" si="27"/>
        <v>34.464599999999997</v>
      </c>
      <c r="Z115" s="169">
        <f t="shared" si="19"/>
        <v>0</v>
      </c>
      <c r="AA115" s="274">
        <f t="shared" si="20"/>
        <v>0</v>
      </c>
      <c r="AB115" s="169">
        <f t="shared" si="28"/>
        <v>0</v>
      </c>
      <c r="AC115" s="274">
        <f t="shared" si="21"/>
        <v>0</v>
      </c>
      <c r="AD115" s="169">
        <f t="shared" si="22"/>
        <v>0</v>
      </c>
      <c r="AE115" s="274">
        <f t="shared" si="23"/>
        <v>0</v>
      </c>
      <c r="AF115" s="169">
        <f t="shared" si="29"/>
        <v>0</v>
      </c>
      <c r="AG115" s="274">
        <f t="shared" si="24"/>
        <v>0</v>
      </c>
      <c r="AH115" s="169">
        <f t="shared" si="30"/>
        <v>0</v>
      </c>
      <c r="AI115" s="169"/>
      <c r="AJ115" s="169">
        <f t="shared" si="31"/>
        <v>0</v>
      </c>
      <c r="AK115" s="169">
        <f t="shared" si="32"/>
        <v>0</v>
      </c>
      <c r="AL115" s="169"/>
      <c r="AM115" s="169"/>
      <c r="AN115" s="169"/>
      <c r="AQ115" s="169"/>
      <c r="AW115" s="144">
        <f t="shared" si="33"/>
        <v>0</v>
      </c>
    </row>
    <row r="116" spans="1:49" ht="9.75" thickBot="1" x14ac:dyDescent="0.2">
      <c r="A116" s="175"/>
      <c r="B116" s="176"/>
      <c r="C116" s="176"/>
      <c r="D116" s="170" t="str">
        <f t="shared" si="34"/>
        <v xml:space="preserve"> </v>
      </c>
      <c r="E116" s="178"/>
      <c r="F116" s="288">
        <v>0</v>
      </c>
      <c r="G116" s="178">
        <v>37</v>
      </c>
      <c r="H116" s="178">
        <v>37</v>
      </c>
      <c r="I116" s="178"/>
      <c r="J116" s="180"/>
      <c r="K116" s="178"/>
      <c r="L116" s="180"/>
      <c r="M116" s="180"/>
      <c r="N116" s="178"/>
      <c r="O116" s="178"/>
      <c r="P116" s="178"/>
      <c r="Q116" s="171">
        <f>AS116</f>
        <v>0</v>
      </c>
      <c r="R116" s="171">
        <f>AT116</f>
        <v>0</v>
      </c>
      <c r="S116" s="172">
        <f>AU116</f>
        <v>0</v>
      </c>
      <c r="U116" s="144">
        <f>IF(OR(C115=5,C116=5),0,1)</f>
        <v>1</v>
      </c>
      <c r="V116" s="144">
        <f t="shared" si="25"/>
        <v>0</v>
      </c>
      <c r="W116" s="144">
        <f t="shared" si="26"/>
        <v>0</v>
      </c>
      <c r="X116" s="144">
        <f t="shared" si="35"/>
        <v>0</v>
      </c>
      <c r="Y116" s="144">
        <f t="shared" si="27"/>
        <v>34.464599999999997</v>
      </c>
      <c r="Z116" s="169">
        <f t="shared" si="19"/>
        <v>0</v>
      </c>
      <c r="AA116" s="274">
        <f t="shared" si="20"/>
        <v>0</v>
      </c>
      <c r="AB116" s="169">
        <f t="shared" si="28"/>
        <v>0</v>
      </c>
      <c r="AC116" s="274">
        <f t="shared" si="21"/>
        <v>0</v>
      </c>
      <c r="AD116" s="169">
        <f t="shared" si="22"/>
        <v>0</v>
      </c>
      <c r="AE116" s="274">
        <f t="shared" si="23"/>
        <v>0</v>
      </c>
      <c r="AF116" s="169">
        <f t="shared" si="29"/>
        <v>0</v>
      </c>
      <c r="AG116" s="274">
        <f t="shared" si="24"/>
        <v>0</v>
      </c>
      <c r="AH116" s="169">
        <f t="shared" si="30"/>
        <v>0</v>
      </c>
      <c r="AI116" s="169"/>
      <c r="AJ116" s="169">
        <f t="shared" si="31"/>
        <v>0</v>
      </c>
      <c r="AK116" s="169">
        <f t="shared" si="32"/>
        <v>0</v>
      </c>
      <c r="AL116" s="169"/>
      <c r="AM116" s="169">
        <f>AK115*W115+AK116*W116</f>
        <v>0</v>
      </c>
      <c r="AN116" s="169">
        <f>(SUM(AD115:AG115)*W115+SUM(AD116:AG116)*W116)*12*VLOOKUP(C116,JNovergang,3,1)</f>
        <v>0</v>
      </c>
      <c r="AO116" s="169">
        <f>AM116-AN116</f>
        <v>0</v>
      </c>
      <c r="AP116" s="169">
        <f>M116*(100+X116)%</f>
        <v>0</v>
      </c>
      <c r="AQ116" s="274">
        <f>ROUND(M116*F116,2)</f>
        <v>0</v>
      </c>
      <c r="AS116" s="274">
        <f>ROUND((AP116+AQ116)+AM116*(N116/12),0)</f>
        <v>0</v>
      </c>
      <c r="AT116" s="274">
        <f>ROUND(AM116*(O116/12),0)</f>
        <v>0</v>
      </c>
      <c r="AU116" s="274">
        <f>ROUND(AM116*(P116/12)*U116,0)</f>
        <v>0</v>
      </c>
      <c r="AW116" s="144">
        <f t="shared" si="33"/>
        <v>0</v>
      </c>
    </row>
    <row r="117" spans="1:49" x14ac:dyDescent="0.15">
      <c r="A117" s="173"/>
      <c r="B117" s="174"/>
      <c r="C117" s="174"/>
      <c r="D117" s="165" t="str">
        <f t="shared" si="34"/>
        <v xml:space="preserve"> </v>
      </c>
      <c r="E117" s="177"/>
      <c r="F117" s="287">
        <v>0</v>
      </c>
      <c r="G117" s="177">
        <v>37</v>
      </c>
      <c r="H117" s="177">
        <v>37</v>
      </c>
      <c r="I117" s="177"/>
      <c r="J117" s="179"/>
      <c r="K117" s="177"/>
      <c r="L117" s="179"/>
      <c r="M117" s="166"/>
      <c r="N117" s="166"/>
      <c r="O117" s="166"/>
      <c r="P117" s="166"/>
      <c r="Q117" s="167"/>
      <c r="R117" s="167"/>
      <c r="S117" s="168"/>
      <c r="V117" s="144">
        <f t="shared" si="25"/>
        <v>0</v>
      </c>
      <c r="W117" s="144">
        <f t="shared" si="26"/>
        <v>0</v>
      </c>
      <c r="X117" s="144">
        <f t="shared" si="35"/>
        <v>0</v>
      </c>
      <c r="Y117" s="144">
        <f t="shared" si="27"/>
        <v>34.464599999999997</v>
      </c>
      <c r="Z117" s="169">
        <f t="shared" si="19"/>
        <v>0</v>
      </c>
      <c r="AA117" s="274">
        <f t="shared" si="20"/>
        <v>0</v>
      </c>
      <c r="AB117" s="169">
        <f t="shared" si="28"/>
        <v>0</v>
      </c>
      <c r="AC117" s="274">
        <f t="shared" si="21"/>
        <v>0</v>
      </c>
      <c r="AD117" s="169">
        <f t="shared" si="22"/>
        <v>0</v>
      </c>
      <c r="AE117" s="274">
        <f t="shared" si="23"/>
        <v>0</v>
      </c>
      <c r="AF117" s="169">
        <f t="shared" si="29"/>
        <v>0</v>
      </c>
      <c r="AG117" s="274">
        <f t="shared" si="24"/>
        <v>0</v>
      </c>
      <c r="AH117" s="169">
        <f t="shared" si="30"/>
        <v>0</v>
      </c>
      <c r="AI117" s="169"/>
      <c r="AJ117" s="169">
        <f t="shared" si="31"/>
        <v>0</v>
      </c>
      <c r="AK117" s="169">
        <f t="shared" si="32"/>
        <v>0</v>
      </c>
      <c r="AL117" s="169"/>
      <c r="AM117" s="169"/>
      <c r="AN117" s="169"/>
      <c r="AQ117" s="169"/>
      <c r="AW117" s="144">
        <f t="shared" si="33"/>
        <v>0</v>
      </c>
    </row>
    <row r="118" spans="1:49" ht="9.75" thickBot="1" x14ac:dyDescent="0.2">
      <c r="A118" s="175"/>
      <c r="B118" s="176"/>
      <c r="C118" s="176"/>
      <c r="D118" s="170" t="str">
        <f t="shared" si="34"/>
        <v xml:space="preserve"> </v>
      </c>
      <c r="E118" s="178"/>
      <c r="F118" s="288">
        <v>0</v>
      </c>
      <c r="G118" s="178">
        <v>37</v>
      </c>
      <c r="H118" s="178">
        <v>37</v>
      </c>
      <c r="I118" s="178"/>
      <c r="J118" s="180"/>
      <c r="K118" s="178"/>
      <c r="L118" s="180"/>
      <c r="M118" s="180"/>
      <c r="N118" s="178"/>
      <c r="O118" s="178"/>
      <c r="P118" s="178"/>
      <c r="Q118" s="171">
        <f>AS118</f>
        <v>0</v>
      </c>
      <c r="R118" s="171">
        <f>AT118</f>
        <v>0</v>
      </c>
      <c r="S118" s="172">
        <f>AU118</f>
        <v>0</v>
      </c>
      <c r="U118" s="144">
        <f>IF(OR(C117=5,C118=5),0,1)</f>
        <v>1</v>
      </c>
      <c r="V118" s="144">
        <f t="shared" si="25"/>
        <v>0</v>
      </c>
      <c r="W118" s="144">
        <f t="shared" si="26"/>
        <v>0</v>
      </c>
      <c r="X118" s="144">
        <f t="shared" si="35"/>
        <v>0</v>
      </c>
      <c r="Y118" s="144">
        <f t="shared" si="27"/>
        <v>34.464599999999997</v>
      </c>
      <c r="Z118" s="169">
        <f t="shared" si="19"/>
        <v>0</v>
      </c>
      <c r="AA118" s="274">
        <f t="shared" si="20"/>
        <v>0</v>
      </c>
      <c r="AB118" s="169">
        <f t="shared" si="28"/>
        <v>0</v>
      </c>
      <c r="AC118" s="274">
        <f t="shared" si="21"/>
        <v>0</v>
      </c>
      <c r="AD118" s="169">
        <f t="shared" si="22"/>
        <v>0</v>
      </c>
      <c r="AE118" s="274">
        <f t="shared" si="23"/>
        <v>0</v>
      </c>
      <c r="AF118" s="169">
        <f t="shared" si="29"/>
        <v>0</v>
      </c>
      <c r="AG118" s="274">
        <f t="shared" si="24"/>
        <v>0</v>
      </c>
      <c r="AH118" s="169">
        <f t="shared" si="30"/>
        <v>0</v>
      </c>
      <c r="AI118" s="169"/>
      <c r="AJ118" s="169">
        <f t="shared" si="31"/>
        <v>0</v>
      </c>
      <c r="AK118" s="169">
        <f t="shared" si="32"/>
        <v>0</v>
      </c>
      <c r="AL118" s="169"/>
      <c r="AM118" s="169">
        <f>AK117*W117+AK118*W118</f>
        <v>0</v>
      </c>
      <c r="AN118" s="169">
        <f>(SUM(AD117:AG117)*W117+SUM(AD118:AG118)*W118)*12*VLOOKUP(C118,JNovergang,3,1)</f>
        <v>0</v>
      </c>
      <c r="AO118" s="169">
        <f>AM118-AN118</f>
        <v>0</v>
      </c>
      <c r="AP118" s="169">
        <f>M118*(100+X118)%</f>
        <v>0</v>
      </c>
      <c r="AQ118" s="274">
        <f>ROUND(M118*F118,2)</f>
        <v>0</v>
      </c>
      <c r="AS118" s="274">
        <f>ROUND((AP118+AQ118)+AM118*(N118/12),0)</f>
        <v>0</v>
      </c>
      <c r="AT118" s="274">
        <f>ROUND(AM118*(O118/12),0)</f>
        <v>0</v>
      </c>
      <c r="AU118" s="274">
        <f>ROUND(AM118*(P118/12)*U118,0)</f>
        <v>0</v>
      </c>
      <c r="AW118" s="144">
        <f t="shared" si="33"/>
        <v>0</v>
      </c>
    </row>
    <row r="119" spans="1:49" x14ac:dyDescent="0.15">
      <c r="A119" s="173"/>
      <c r="B119" s="174"/>
      <c r="C119" s="174"/>
      <c r="D119" s="165" t="str">
        <f t="shared" si="34"/>
        <v xml:space="preserve"> </v>
      </c>
      <c r="E119" s="177"/>
      <c r="F119" s="287">
        <v>0</v>
      </c>
      <c r="G119" s="177">
        <v>37</v>
      </c>
      <c r="H119" s="177">
        <v>37</v>
      </c>
      <c r="I119" s="177"/>
      <c r="J119" s="179"/>
      <c r="K119" s="177"/>
      <c r="L119" s="179"/>
      <c r="M119" s="166"/>
      <c r="N119" s="166"/>
      <c r="O119" s="166"/>
      <c r="P119" s="166"/>
      <c r="Q119" s="167"/>
      <c r="R119" s="167"/>
      <c r="S119" s="168"/>
      <c r="V119" s="144">
        <f t="shared" si="25"/>
        <v>0</v>
      </c>
      <c r="W119" s="144">
        <f t="shared" si="26"/>
        <v>0</v>
      </c>
      <c r="X119" s="144">
        <f t="shared" si="35"/>
        <v>0</v>
      </c>
      <c r="Y119" s="144">
        <f t="shared" si="27"/>
        <v>34.464599999999997</v>
      </c>
      <c r="Z119" s="169">
        <f t="shared" si="19"/>
        <v>0</v>
      </c>
      <c r="AA119" s="274">
        <f t="shared" si="20"/>
        <v>0</v>
      </c>
      <c r="AB119" s="169">
        <f t="shared" si="28"/>
        <v>0</v>
      </c>
      <c r="AC119" s="274">
        <f t="shared" si="21"/>
        <v>0</v>
      </c>
      <c r="AD119" s="169">
        <f t="shared" si="22"/>
        <v>0</v>
      </c>
      <c r="AE119" s="274">
        <f t="shared" si="23"/>
        <v>0</v>
      </c>
      <c r="AF119" s="169">
        <f t="shared" si="29"/>
        <v>0</v>
      </c>
      <c r="AG119" s="274">
        <f t="shared" si="24"/>
        <v>0</v>
      </c>
      <c r="AH119" s="169">
        <f t="shared" si="30"/>
        <v>0</v>
      </c>
      <c r="AI119" s="169"/>
      <c r="AJ119" s="169">
        <f t="shared" si="31"/>
        <v>0</v>
      </c>
      <c r="AK119" s="169">
        <f t="shared" si="32"/>
        <v>0</v>
      </c>
      <c r="AL119" s="169"/>
      <c r="AM119" s="169"/>
      <c r="AN119" s="169"/>
      <c r="AQ119" s="169"/>
      <c r="AW119" s="144">
        <f t="shared" si="33"/>
        <v>0</v>
      </c>
    </row>
    <row r="120" spans="1:49" ht="9.75" thickBot="1" x14ac:dyDescent="0.2">
      <c r="A120" s="175"/>
      <c r="B120" s="176"/>
      <c r="C120" s="176"/>
      <c r="D120" s="170" t="str">
        <f t="shared" si="34"/>
        <v xml:space="preserve"> </v>
      </c>
      <c r="E120" s="178"/>
      <c r="F120" s="288">
        <v>0</v>
      </c>
      <c r="G120" s="178">
        <v>37</v>
      </c>
      <c r="H120" s="178">
        <v>37</v>
      </c>
      <c r="I120" s="178"/>
      <c r="J120" s="180"/>
      <c r="K120" s="178"/>
      <c r="L120" s="180"/>
      <c r="M120" s="180"/>
      <c r="N120" s="178"/>
      <c r="O120" s="178"/>
      <c r="P120" s="178"/>
      <c r="Q120" s="171">
        <f>AS120</f>
        <v>0</v>
      </c>
      <c r="R120" s="171">
        <f>AT120</f>
        <v>0</v>
      </c>
      <c r="S120" s="172">
        <f>AU120</f>
        <v>0</v>
      </c>
      <c r="U120" s="144">
        <f>IF(OR(C119=5,C120=5),0,1)</f>
        <v>1</v>
      </c>
      <c r="V120" s="144">
        <f t="shared" si="25"/>
        <v>0</v>
      </c>
      <c r="W120" s="144">
        <f t="shared" si="26"/>
        <v>0</v>
      </c>
      <c r="X120" s="144">
        <f t="shared" si="35"/>
        <v>0</v>
      </c>
      <c r="Y120" s="144">
        <f t="shared" si="27"/>
        <v>34.464599999999997</v>
      </c>
      <c r="Z120" s="169">
        <f t="shared" si="19"/>
        <v>0</v>
      </c>
      <c r="AA120" s="274">
        <f t="shared" si="20"/>
        <v>0</v>
      </c>
      <c r="AB120" s="169">
        <f t="shared" si="28"/>
        <v>0</v>
      </c>
      <c r="AC120" s="274">
        <f t="shared" si="21"/>
        <v>0</v>
      </c>
      <c r="AD120" s="169">
        <f t="shared" si="22"/>
        <v>0</v>
      </c>
      <c r="AE120" s="274">
        <f t="shared" si="23"/>
        <v>0</v>
      </c>
      <c r="AF120" s="169">
        <f t="shared" si="29"/>
        <v>0</v>
      </c>
      <c r="AG120" s="274">
        <f t="shared" si="24"/>
        <v>0</v>
      </c>
      <c r="AH120" s="169">
        <f t="shared" si="30"/>
        <v>0</v>
      </c>
      <c r="AI120" s="169"/>
      <c r="AJ120" s="169">
        <f t="shared" si="31"/>
        <v>0</v>
      </c>
      <c r="AK120" s="169">
        <f t="shared" si="32"/>
        <v>0</v>
      </c>
      <c r="AL120" s="169"/>
      <c r="AM120" s="169">
        <f>AK119*W119+AK120*W120</f>
        <v>0</v>
      </c>
      <c r="AN120" s="169">
        <f>(SUM(AD119:AG119)*W119+SUM(AD120:AG120)*W120)*12*VLOOKUP(C120,JNovergang,3,1)</f>
        <v>0</v>
      </c>
      <c r="AO120" s="169">
        <f>AM120-AN120</f>
        <v>0</v>
      </c>
      <c r="AP120" s="169">
        <f>M120*(100+X120)%</f>
        <v>0</v>
      </c>
      <c r="AQ120" s="274">
        <f>ROUND(M120*F120,2)</f>
        <v>0</v>
      </c>
      <c r="AS120" s="274">
        <f>ROUND((AP120+AQ120)+AM120*(N120/12),0)</f>
        <v>0</v>
      </c>
      <c r="AT120" s="274">
        <f>ROUND(AM120*(O120/12),0)</f>
        <v>0</v>
      </c>
      <c r="AU120" s="274">
        <f>ROUND(AM120*(P120/12)*U120,0)</f>
        <v>0</v>
      </c>
      <c r="AW120" s="144">
        <f t="shared" si="33"/>
        <v>0</v>
      </c>
    </row>
    <row r="121" spans="1:49" x14ac:dyDescent="0.15">
      <c r="A121" s="173"/>
      <c r="B121" s="174"/>
      <c r="C121" s="174"/>
      <c r="D121" s="165" t="str">
        <f t="shared" si="34"/>
        <v xml:space="preserve"> </v>
      </c>
      <c r="E121" s="177"/>
      <c r="F121" s="287">
        <v>0</v>
      </c>
      <c r="G121" s="177">
        <v>37</v>
      </c>
      <c r="H121" s="177">
        <v>37</v>
      </c>
      <c r="I121" s="177"/>
      <c r="J121" s="179"/>
      <c r="K121" s="177"/>
      <c r="L121" s="179"/>
      <c r="M121" s="166"/>
      <c r="N121" s="166"/>
      <c r="O121" s="166"/>
      <c r="P121" s="166"/>
      <c r="Q121" s="167"/>
      <c r="R121" s="167"/>
      <c r="S121" s="168"/>
      <c r="V121" s="144">
        <f t="shared" si="25"/>
        <v>0</v>
      </c>
      <c r="W121" s="144">
        <f t="shared" si="26"/>
        <v>0</v>
      </c>
      <c r="X121" s="144">
        <f t="shared" si="35"/>
        <v>0</v>
      </c>
      <c r="Y121" s="144">
        <f t="shared" si="27"/>
        <v>34.464599999999997</v>
      </c>
      <c r="Z121" s="169">
        <f t="shared" si="19"/>
        <v>0</v>
      </c>
      <c r="AA121" s="274">
        <f t="shared" si="20"/>
        <v>0</v>
      </c>
      <c r="AB121" s="169">
        <f t="shared" si="28"/>
        <v>0</v>
      </c>
      <c r="AC121" s="274">
        <f t="shared" si="21"/>
        <v>0</v>
      </c>
      <c r="AD121" s="169">
        <f t="shared" si="22"/>
        <v>0</v>
      </c>
      <c r="AE121" s="274">
        <f t="shared" si="23"/>
        <v>0</v>
      </c>
      <c r="AF121" s="169">
        <f t="shared" si="29"/>
        <v>0</v>
      </c>
      <c r="AG121" s="274">
        <f t="shared" si="24"/>
        <v>0</v>
      </c>
      <c r="AH121" s="169">
        <f t="shared" si="30"/>
        <v>0</v>
      </c>
      <c r="AI121" s="169"/>
      <c r="AJ121" s="169">
        <f t="shared" si="31"/>
        <v>0</v>
      </c>
      <c r="AK121" s="169">
        <f t="shared" si="32"/>
        <v>0</v>
      </c>
      <c r="AL121" s="169"/>
      <c r="AM121" s="169"/>
      <c r="AN121" s="169"/>
      <c r="AQ121" s="169"/>
      <c r="AW121" s="144">
        <f t="shared" si="33"/>
        <v>0</v>
      </c>
    </row>
    <row r="122" spans="1:49" ht="9.75" thickBot="1" x14ac:dyDescent="0.2">
      <c r="A122" s="175"/>
      <c r="B122" s="176"/>
      <c r="C122" s="176"/>
      <c r="D122" s="170" t="str">
        <f t="shared" si="34"/>
        <v xml:space="preserve"> </v>
      </c>
      <c r="E122" s="178"/>
      <c r="F122" s="288">
        <v>0</v>
      </c>
      <c r="G122" s="178">
        <v>37</v>
      </c>
      <c r="H122" s="178">
        <v>37</v>
      </c>
      <c r="I122" s="178"/>
      <c r="J122" s="180"/>
      <c r="K122" s="178"/>
      <c r="L122" s="180"/>
      <c r="M122" s="180"/>
      <c r="N122" s="178"/>
      <c r="O122" s="178"/>
      <c r="P122" s="178"/>
      <c r="Q122" s="171">
        <f>AS122</f>
        <v>0</v>
      </c>
      <c r="R122" s="171">
        <f>AT122</f>
        <v>0</v>
      </c>
      <c r="S122" s="172">
        <f>AU122</f>
        <v>0</v>
      </c>
      <c r="U122" s="144">
        <f>IF(OR(C121=5,C122=5),0,1)</f>
        <v>1</v>
      </c>
      <c r="V122" s="144">
        <f t="shared" si="25"/>
        <v>0</v>
      </c>
      <c r="W122" s="144">
        <f t="shared" si="26"/>
        <v>0</v>
      </c>
      <c r="X122" s="144">
        <f t="shared" si="35"/>
        <v>0</v>
      </c>
      <c r="Y122" s="144">
        <f t="shared" si="27"/>
        <v>34.464599999999997</v>
      </c>
      <c r="Z122" s="169">
        <f t="shared" si="19"/>
        <v>0</v>
      </c>
      <c r="AA122" s="274">
        <f t="shared" si="20"/>
        <v>0</v>
      </c>
      <c r="AB122" s="169">
        <f t="shared" si="28"/>
        <v>0</v>
      </c>
      <c r="AC122" s="274">
        <f t="shared" si="21"/>
        <v>0</v>
      </c>
      <c r="AD122" s="169">
        <f t="shared" si="22"/>
        <v>0</v>
      </c>
      <c r="AE122" s="274">
        <f t="shared" si="23"/>
        <v>0</v>
      </c>
      <c r="AF122" s="169">
        <f t="shared" si="29"/>
        <v>0</v>
      </c>
      <c r="AG122" s="274">
        <f t="shared" si="24"/>
        <v>0</v>
      </c>
      <c r="AH122" s="169">
        <f t="shared" si="30"/>
        <v>0</v>
      </c>
      <c r="AI122" s="169"/>
      <c r="AJ122" s="169">
        <f t="shared" si="31"/>
        <v>0</v>
      </c>
      <c r="AK122" s="169">
        <f t="shared" si="32"/>
        <v>0</v>
      </c>
      <c r="AL122" s="169"/>
      <c r="AM122" s="169">
        <f>AK121*W121+AK122*W122</f>
        <v>0</v>
      </c>
      <c r="AN122" s="169">
        <f>(SUM(AD121:AG121)*W121+SUM(AD122:AG122)*W122)*12*VLOOKUP(C122,JNovergang,3,1)</f>
        <v>0</v>
      </c>
      <c r="AO122" s="169">
        <f>AM122-AN122</f>
        <v>0</v>
      </c>
      <c r="AP122" s="169">
        <f>M122*(100+X122)%</f>
        <v>0</v>
      </c>
      <c r="AQ122" s="274">
        <f>ROUND(M122*F122,2)</f>
        <v>0</v>
      </c>
      <c r="AS122" s="274">
        <f>ROUND((AP122+AQ122)+AM122*(N122/12),0)</f>
        <v>0</v>
      </c>
      <c r="AT122" s="274">
        <f>ROUND(AM122*(O122/12),0)</f>
        <v>0</v>
      </c>
      <c r="AU122" s="274">
        <f>ROUND(AM122*(P122/12)*U122,0)</f>
        <v>0</v>
      </c>
      <c r="AW122" s="144">
        <f t="shared" si="33"/>
        <v>0</v>
      </c>
    </row>
    <row r="123" spans="1:49" x14ac:dyDescent="0.15">
      <c r="A123" s="173"/>
      <c r="B123" s="174"/>
      <c r="C123" s="174"/>
      <c r="D123" s="165" t="str">
        <f t="shared" si="34"/>
        <v xml:space="preserve"> </v>
      </c>
      <c r="E123" s="177"/>
      <c r="F123" s="287">
        <v>0</v>
      </c>
      <c r="G123" s="177">
        <v>37</v>
      </c>
      <c r="H123" s="177">
        <v>37</v>
      </c>
      <c r="I123" s="177"/>
      <c r="J123" s="179"/>
      <c r="K123" s="177"/>
      <c r="L123" s="179"/>
      <c r="M123" s="166"/>
      <c r="N123" s="166"/>
      <c r="O123" s="166"/>
      <c r="P123" s="166"/>
      <c r="Q123" s="167"/>
      <c r="R123" s="167"/>
      <c r="S123" s="168"/>
      <c r="V123" s="144">
        <f t="shared" si="25"/>
        <v>0</v>
      </c>
      <c r="W123" s="144">
        <f t="shared" si="26"/>
        <v>0</v>
      </c>
      <c r="X123" s="144">
        <f t="shared" si="35"/>
        <v>0</v>
      </c>
      <c r="Y123" s="144">
        <f t="shared" si="27"/>
        <v>34.464599999999997</v>
      </c>
      <c r="Z123" s="169">
        <f t="shared" si="19"/>
        <v>0</v>
      </c>
      <c r="AA123" s="274">
        <f t="shared" si="20"/>
        <v>0</v>
      </c>
      <c r="AB123" s="169">
        <f t="shared" si="28"/>
        <v>0</v>
      </c>
      <c r="AC123" s="274">
        <f t="shared" si="21"/>
        <v>0</v>
      </c>
      <c r="AD123" s="169">
        <f t="shared" si="22"/>
        <v>0</v>
      </c>
      <c r="AE123" s="274">
        <f t="shared" si="23"/>
        <v>0</v>
      </c>
      <c r="AF123" s="169">
        <f t="shared" si="29"/>
        <v>0</v>
      </c>
      <c r="AG123" s="274">
        <f t="shared" si="24"/>
        <v>0</v>
      </c>
      <c r="AH123" s="169">
        <f t="shared" si="30"/>
        <v>0</v>
      </c>
      <c r="AI123" s="169"/>
      <c r="AJ123" s="169">
        <f t="shared" si="31"/>
        <v>0</v>
      </c>
      <c r="AK123" s="169">
        <f t="shared" si="32"/>
        <v>0</v>
      </c>
      <c r="AL123" s="169"/>
      <c r="AM123" s="169"/>
      <c r="AN123" s="169"/>
      <c r="AQ123" s="169"/>
      <c r="AW123" s="144">
        <f t="shared" si="33"/>
        <v>0</v>
      </c>
    </row>
    <row r="124" spans="1:49" ht="9.75" thickBot="1" x14ac:dyDescent="0.2">
      <c r="A124" s="175"/>
      <c r="B124" s="176"/>
      <c r="C124" s="176"/>
      <c r="D124" s="170" t="str">
        <f t="shared" si="34"/>
        <v xml:space="preserve"> </v>
      </c>
      <c r="E124" s="178"/>
      <c r="F124" s="288">
        <v>0</v>
      </c>
      <c r="G124" s="178">
        <v>37</v>
      </c>
      <c r="H124" s="178">
        <v>37</v>
      </c>
      <c r="I124" s="178"/>
      <c r="J124" s="180"/>
      <c r="K124" s="178"/>
      <c r="L124" s="180"/>
      <c r="M124" s="180"/>
      <c r="N124" s="178"/>
      <c r="O124" s="178"/>
      <c r="P124" s="178"/>
      <c r="Q124" s="171">
        <f>AS124</f>
        <v>0</v>
      </c>
      <c r="R124" s="171">
        <f>AT124</f>
        <v>0</v>
      </c>
      <c r="S124" s="172">
        <f>AU124</f>
        <v>0</v>
      </c>
      <c r="U124" s="144">
        <f>IF(OR(C123=5,C124=5),0,1)</f>
        <v>1</v>
      </c>
      <c r="V124" s="144">
        <f t="shared" si="25"/>
        <v>0</v>
      </c>
      <c r="W124" s="144">
        <f t="shared" si="26"/>
        <v>0</v>
      </c>
      <c r="X124" s="144">
        <f t="shared" si="35"/>
        <v>0</v>
      </c>
      <c r="Y124" s="144">
        <f t="shared" si="27"/>
        <v>34.464599999999997</v>
      </c>
      <c r="Z124" s="169">
        <f t="shared" si="19"/>
        <v>0</v>
      </c>
      <c r="AA124" s="274">
        <f t="shared" si="20"/>
        <v>0</v>
      </c>
      <c r="AB124" s="169">
        <f t="shared" si="28"/>
        <v>0</v>
      </c>
      <c r="AC124" s="274">
        <f t="shared" si="21"/>
        <v>0</v>
      </c>
      <c r="AD124" s="169">
        <f t="shared" si="22"/>
        <v>0</v>
      </c>
      <c r="AE124" s="274">
        <f t="shared" si="23"/>
        <v>0</v>
      </c>
      <c r="AF124" s="169">
        <f t="shared" si="29"/>
        <v>0</v>
      </c>
      <c r="AG124" s="274">
        <f t="shared" si="24"/>
        <v>0</v>
      </c>
      <c r="AH124" s="169">
        <f t="shared" si="30"/>
        <v>0</v>
      </c>
      <c r="AI124" s="169"/>
      <c r="AJ124" s="169">
        <f t="shared" si="31"/>
        <v>0</v>
      </c>
      <c r="AK124" s="169">
        <f t="shared" si="32"/>
        <v>0</v>
      </c>
      <c r="AL124" s="169"/>
      <c r="AM124" s="169">
        <f>AK123*W123+AK124*W124</f>
        <v>0</v>
      </c>
      <c r="AN124" s="169">
        <f>(SUM(AD123:AG123)*W123+SUM(AD124:AG124)*W124)*12*VLOOKUP(C124,JNovergang,3,1)</f>
        <v>0</v>
      </c>
      <c r="AO124" s="169">
        <f>AM124-AN124</f>
        <v>0</v>
      </c>
      <c r="AP124" s="169">
        <f>M124*(100+X124)%</f>
        <v>0</v>
      </c>
      <c r="AQ124" s="274">
        <f>ROUND(M124*F124,2)</f>
        <v>0</v>
      </c>
      <c r="AS124" s="274">
        <f>ROUND((AP124+AQ124)+AM124*(N124/12),0)</f>
        <v>0</v>
      </c>
      <c r="AT124" s="274">
        <f>ROUND(AM124*(O124/12),0)</f>
        <v>0</v>
      </c>
      <c r="AU124" s="274">
        <f>ROUND(AM124*(P124/12)*U124,0)</f>
        <v>0</v>
      </c>
      <c r="AW124" s="144">
        <f t="shared" si="33"/>
        <v>0</v>
      </c>
    </row>
    <row r="125" spans="1:49" x14ac:dyDescent="0.15">
      <c r="A125" s="173"/>
      <c r="B125" s="174"/>
      <c r="C125" s="174"/>
      <c r="D125" s="165" t="str">
        <f t="shared" si="34"/>
        <v xml:space="preserve"> </v>
      </c>
      <c r="E125" s="177"/>
      <c r="F125" s="287">
        <v>0</v>
      </c>
      <c r="G125" s="177">
        <v>37</v>
      </c>
      <c r="H125" s="177">
        <v>37</v>
      </c>
      <c r="I125" s="177"/>
      <c r="J125" s="179"/>
      <c r="K125" s="177"/>
      <c r="L125" s="179"/>
      <c r="M125" s="166"/>
      <c r="N125" s="166"/>
      <c r="O125" s="166"/>
      <c r="P125" s="166"/>
      <c r="Q125" s="167"/>
      <c r="R125" s="167"/>
      <c r="S125" s="168"/>
      <c r="V125" s="144">
        <f t="shared" si="25"/>
        <v>0</v>
      </c>
      <c r="W125" s="144">
        <f t="shared" si="26"/>
        <v>0</v>
      </c>
      <c r="X125" s="144">
        <f t="shared" si="35"/>
        <v>0</v>
      </c>
      <c r="Y125" s="144">
        <f t="shared" si="27"/>
        <v>34.464599999999997</v>
      </c>
      <c r="Z125" s="169">
        <f t="shared" si="19"/>
        <v>0</v>
      </c>
      <c r="AA125" s="274">
        <f t="shared" si="20"/>
        <v>0</v>
      </c>
      <c r="AB125" s="169">
        <f t="shared" si="28"/>
        <v>0</v>
      </c>
      <c r="AC125" s="274">
        <f t="shared" si="21"/>
        <v>0</v>
      </c>
      <c r="AD125" s="169">
        <f t="shared" si="22"/>
        <v>0</v>
      </c>
      <c r="AE125" s="274">
        <f t="shared" si="23"/>
        <v>0</v>
      </c>
      <c r="AF125" s="169">
        <f t="shared" si="29"/>
        <v>0</v>
      </c>
      <c r="AG125" s="274">
        <f t="shared" si="24"/>
        <v>0</v>
      </c>
      <c r="AH125" s="169">
        <f t="shared" si="30"/>
        <v>0</v>
      </c>
      <c r="AI125" s="169"/>
      <c r="AJ125" s="169">
        <f t="shared" si="31"/>
        <v>0</v>
      </c>
      <c r="AK125" s="169">
        <f t="shared" si="32"/>
        <v>0</v>
      </c>
      <c r="AL125" s="169"/>
      <c r="AM125" s="169"/>
      <c r="AN125" s="169"/>
      <c r="AQ125" s="169"/>
      <c r="AW125" s="144">
        <f t="shared" si="33"/>
        <v>0</v>
      </c>
    </row>
    <row r="126" spans="1:49" ht="9.75" thickBot="1" x14ac:dyDescent="0.2">
      <c r="A126" s="175"/>
      <c r="B126" s="176"/>
      <c r="C126" s="176"/>
      <c r="D126" s="170" t="str">
        <f t="shared" si="34"/>
        <v xml:space="preserve"> </v>
      </c>
      <c r="E126" s="178"/>
      <c r="F126" s="288">
        <v>0</v>
      </c>
      <c r="G126" s="178">
        <v>37</v>
      </c>
      <c r="H126" s="178">
        <v>37</v>
      </c>
      <c r="I126" s="178"/>
      <c r="J126" s="180"/>
      <c r="K126" s="178"/>
      <c r="L126" s="180"/>
      <c r="M126" s="180"/>
      <c r="N126" s="178"/>
      <c r="O126" s="178"/>
      <c r="P126" s="178"/>
      <c r="Q126" s="171">
        <f>AS126</f>
        <v>0</v>
      </c>
      <c r="R126" s="171">
        <f>AT126</f>
        <v>0</v>
      </c>
      <c r="S126" s="172">
        <f>AU126</f>
        <v>0</v>
      </c>
      <c r="U126" s="144">
        <f>IF(OR(C125=5,C126=5),0,1)</f>
        <v>1</v>
      </c>
      <c r="V126" s="144">
        <f t="shared" si="25"/>
        <v>0</v>
      </c>
      <c r="W126" s="144">
        <f t="shared" si="26"/>
        <v>0</v>
      </c>
      <c r="X126" s="144">
        <f t="shared" si="35"/>
        <v>0</v>
      </c>
      <c r="Y126" s="144">
        <f t="shared" si="27"/>
        <v>34.464599999999997</v>
      </c>
      <c r="Z126" s="169">
        <f t="shared" si="19"/>
        <v>0</v>
      </c>
      <c r="AA126" s="274">
        <f t="shared" si="20"/>
        <v>0</v>
      </c>
      <c r="AB126" s="169">
        <f t="shared" si="28"/>
        <v>0</v>
      </c>
      <c r="AC126" s="274">
        <f t="shared" si="21"/>
        <v>0</v>
      </c>
      <c r="AD126" s="169">
        <f t="shared" si="22"/>
        <v>0</v>
      </c>
      <c r="AE126" s="274">
        <f t="shared" si="23"/>
        <v>0</v>
      </c>
      <c r="AF126" s="169">
        <f t="shared" si="29"/>
        <v>0</v>
      </c>
      <c r="AG126" s="274">
        <f t="shared" si="24"/>
        <v>0</v>
      </c>
      <c r="AH126" s="169">
        <f t="shared" si="30"/>
        <v>0</v>
      </c>
      <c r="AI126" s="169"/>
      <c r="AJ126" s="169">
        <f t="shared" si="31"/>
        <v>0</v>
      </c>
      <c r="AK126" s="169">
        <f t="shared" si="32"/>
        <v>0</v>
      </c>
      <c r="AL126" s="169"/>
      <c r="AM126" s="169">
        <f>AK125*W125+AK126*W126</f>
        <v>0</v>
      </c>
      <c r="AN126" s="169">
        <f>(SUM(AD125:AG125)*W125+SUM(AD126:AG126)*W126)*12*VLOOKUP(C126,JNovergang,3,1)</f>
        <v>0</v>
      </c>
      <c r="AO126" s="169">
        <f>AM126-AN126</f>
        <v>0</v>
      </c>
      <c r="AP126" s="169">
        <f>M126*(100+X126)%</f>
        <v>0</v>
      </c>
      <c r="AQ126" s="274">
        <f>ROUND(M126*F126,2)</f>
        <v>0</v>
      </c>
      <c r="AS126" s="274">
        <f>ROUND((AP126+AQ126)+AM126*(N126/12),0)</f>
        <v>0</v>
      </c>
      <c r="AT126" s="274">
        <f>ROUND(AM126*(O126/12),0)</f>
        <v>0</v>
      </c>
      <c r="AU126" s="274">
        <f>ROUND(AM126*(P126/12)*U126,0)</f>
        <v>0</v>
      </c>
      <c r="AW126" s="144">
        <f t="shared" si="33"/>
        <v>0</v>
      </c>
    </row>
    <row r="127" spans="1:49" x14ac:dyDescent="0.15">
      <c r="A127" s="173"/>
      <c r="B127" s="174"/>
      <c r="C127" s="174"/>
      <c r="D127" s="165" t="str">
        <f t="shared" si="34"/>
        <v xml:space="preserve"> </v>
      </c>
      <c r="E127" s="177"/>
      <c r="F127" s="287">
        <v>0</v>
      </c>
      <c r="G127" s="177">
        <v>37</v>
      </c>
      <c r="H127" s="177">
        <v>37</v>
      </c>
      <c r="I127" s="177"/>
      <c r="J127" s="179"/>
      <c r="K127" s="177"/>
      <c r="L127" s="179"/>
      <c r="M127" s="166"/>
      <c r="N127" s="166"/>
      <c r="O127" s="166"/>
      <c r="P127" s="166"/>
      <c r="Q127" s="167"/>
      <c r="R127" s="167"/>
      <c r="S127" s="168"/>
      <c r="V127" s="144">
        <f t="shared" si="25"/>
        <v>0</v>
      </c>
      <c r="W127" s="144">
        <f t="shared" si="26"/>
        <v>0</v>
      </c>
      <c r="X127" s="144">
        <f t="shared" si="35"/>
        <v>0</v>
      </c>
      <c r="Y127" s="144">
        <f t="shared" si="27"/>
        <v>34.464599999999997</v>
      </c>
      <c r="Z127" s="169">
        <f t="shared" si="19"/>
        <v>0</v>
      </c>
      <c r="AA127" s="274">
        <f t="shared" si="20"/>
        <v>0</v>
      </c>
      <c r="AB127" s="169">
        <f t="shared" si="28"/>
        <v>0</v>
      </c>
      <c r="AC127" s="274">
        <f t="shared" si="21"/>
        <v>0</v>
      </c>
      <c r="AD127" s="169">
        <f t="shared" si="22"/>
        <v>0</v>
      </c>
      <c r="AE127" s="274">
        <f t="shared" si="23"/>
        <v>0</v>
      </c>
      <c r="AF127" s="169">
        <f t="shared" si="29"/>
        <v>0</v>
      </c>
      <c r="AG127" s="274">
        <f t="shared" si="24"/>
        <v>0</v>
      </c>
      <c r="AH127" s="169">
        <f t="shared" si="30"/>
        <v>0</v>
      </c>
      <c r="AI127" s="169"/>
      <c r="AJ127" s="169">
        <f t="shared" si="31"/>
        <v>0</v>
      </c>
      <c r="AK127" s="169">
        <f t="shared" si="32"/>
        <v>0</v>
      </c>
      <c r="AL127" s="169"/>
      <c r="AM127" s="169"/>
      <c r="AN127" s="169"/>
      <c r="AQ127" s="169"/>
      <c r="AW127" s="144">
        <f t="shared" si="33"/>
        <v>0</v>
      </c>
    </row>
    <row r="128" spans="1:49" ht="9.75" thickBot="1" x14ac:dyDescent="0.2">
      <c r="A128" s="175"/>
      <c r="B128" s="176"/>
      <c r="C128" s="176"/>
      <c r="D128" s="170" t="str">
        <f t="shared" si="34"/>
        <v xml:space="preserve"> </v>
      </c>
      <c r="E128" s="178"/>
      <c r="F128" s="288">
        <v>0</v>
      </c>
      <c r="G128" s="178">
        <v>37</v>
      </c>
      <c r="H128" s="178">
        <v>37</v>
      </c>
      <c r="I128" s="178"/>
      <c r="J128" s="180"/>
      <c r="K128" s="178"/>
      <c r="L128" s="180"/>
      <c r="M128" s="180"/>
      <c r="N128" s="178"/>
      <c r="O128" s="178"/>
      <c r="P128" s="178"/>
      <c r="Q128" s="171">
        <f>AS128</f>
        <v>0</v>
      </c>
      <c r="R128" s="171">
        <f>AT128</f>
        <v>0</v>
      </c>
      <c r="S128" s="172">
        <f>AU128</f>
        <v>0</v>
      </c>
      <c r="U128" s="144">
        <f>IF(OR(C127=5,C128=5),0,1)</f>
        <v>1</v>
      </c>
      <c r="V128" s="144">
        <f t="shared" si="25"/>
        <v>0</v>
      </c>
      <c r="W128" s="144">
        <f t="shared" si="26"/>
        <v>0</v>
      </c>
      <c r="X128" s="144">
        <f t="shared" si="35"/>
        <v>0</v>
      </c>
      <c r="Y128" s="144">
        <f t="shared" si="27"/>
        <v>34.464599999999997</v>
      </c>
      <c r="Z128" s="169">
        <f t="shared" si="19"/>
        <v>0</v>
      </c>
      <c r="AA128" s="274">
        <f t="shared" si="20"/>
        <v>0</v>
      </c>
      <c r="AB128" s="169">
        <f t="shared" si="28"/>
        <v>0</v>
      </c>
      <c r="AC128" s="274">
        <f t="shared" si="21"/>
        <v>0</v>
      </c>
      <c r="AD128" s="169">
        <f t="shared" si="22"/>
        <v>0</v>
      </c>
      <c r="AE128" s="274">
        <f t="shared" si="23"/>
        <v>0</v>
      </c>
      <c r="AF128" s="169">
        <f t="shared" si="29"/>
        <v>0</v>
      </c>
      <c r="AG128" s="274">
        <f t="shared" si="24"/>
        <v>0</v>
      </c>
      <c r="AH128" s="169">
        <f t="shared" si="30"/>
        <v>0</v>
      </c>
      <c r="AI128" s="169"/>
      <c r="AJ128" s="169">
        <f t="shared" si="31"/>
        <v>0</v>
      </c>
      <c r="AK128" s="169">
        <f t="shared" si="32"/>
        <v>0</v>
      </c>
      <c r="AL128" s="169"/>
      <c r="AM128" s="169">
        <f>AK127*W127+AK128*W128</f>
        <v>0</v>
      </c>
      <c r="AN128" s="169">
        <f>(SUM(AD127:AG127)*W127+SUM(AD128:AG128)*W128)*12*VLOOKUP(C128,JNovergang,3,1)</f>
        <v>0</v>
      </c>
      <c r="AO128" s="169">
        <f>AM128-AN128</f>
        <v>0</v>
      </c>
      <c r="AP128" s="169">
        <f>M128*(100+X128)%</f>
        <v>0</v>
      </c>
      <c r="AQ128" s="274">
        <f>ROUND(M128*F128,2)</f>
        <v>0</v>
      </c>
      <c r="AS128" s="274">
        <f>ROUND((AP128+AQ128)+AM128*(N128/12),0)</f>
        <v>0</v>
      </c>
      <c r="AT128" s="274">
        <f>ROUND(AM128*(O128/12),0)</f>
        <v>0</v>
      </c>
      <c r="AU128" s="274">
        <f>ROUND(AM128*(P128/12)*U128,0)</f>
        <v>0</v>
      </c>
      <c r="AW128" s="144">
        <f t="shared" si="33"/>
        <v>0</v>
      </c>
    </row>
    <row r="129" spans="1:49" x14ac:dyDescent="0.15">
      <c r="A129" s="173"/>
      <c r="B129" s="174"/>
      <c r="C129" s="174"/>
      <c r="D129" s="165" t="str">
        <f t="shared" si="34"/>
        <v xml:space="preserve"> </v>
      </c>
      <c r="E129" s="177"/>
      <c r="F129" s="287">
        <v>0</v>
      </c>
      <c r="G129" s="177">
        <v>37</v>
      </c>
      <c r="H129" s="177">
        <v>37</v>
      </c>
      <c r="I129" s="177"/>
      <c r="J129" s="179"/>
      <c r="K129" s="177"/>
      <c r="L129" s="179"/>
      <c r="M129" s="166"/>
      <c r="N129" s="166"/>
      <c r="O129" s="166"/>
      <c r="P129" s="166"/>
      <c r="Q129" s="167"/>
      <c r="R129" s="167"/>
      <c r="S129" s="168"/>
      <c r="V129" s="144">
        <f t="shared" si="25"/>
        <v>0</v>
      </c>
      <c r="W129" s="144">
        <f t="shared" si="26"/>
        <v>0</v>
      </c>
      <c r="X129" s="144">
        <f t="shared" si="35"/>
        <v>0</v>
      </c>
      <c r="Y129" s="144">
        <f t="shared" si="27"/>
        <v>34.464599999999997</v>
      </c>
      <c r="Z129" s="169">
        <f t="shared" si="19"/>
        <v>0</v>
      </c>
      <c r="AA129" s="274">
        <f t="shared" si="20"/>
        <v>0</v>
      </c>
      <c r="AB129" s="169">
        <f t="shared" si="28"/>
        <v>0</v>
      </c>
      <c r="AC129" s="274">
        <f t="shared" si="21"/>
        <v>0</v>
      </c>
      <c r="AD129" s="169">
        <f t="shared" si="22"/>
        <v>0</v>
      </c>
      <c r="AE129" s="274">
        <f t="shared" si="23"/>
        <v>0</v>
      </c>
      <c r="AF129" s="169">
        <f t="shared" si="29"/>
        <v>0</v>
      </c>
      <c r="AG129" s="274">
        <f t="shared" si="24"/>
        <v>0</v>
      </c>
      <c r="AH129" s="169">
        <f t="shared" si="30"/>
        <v>0</v>
      </c>
      <c r="AI129" s="169"/>
      <c r="AJ129" s="169">
        <f t="shared" si="31"/>
        <v>0</v>
      </c>
      <c r="AK129" s="169">
        <f t="shared" si="32"/>
        <v>0</v>
      </c>
      <c r="AL129" s="169"/>
      <c r="AM129" s="169"/>
      <c r="AN129" s="169"/>
      <c r="AQ129" s="169"/>
      <c r="AW129" s="144">
        <f t="shared" si="33"/>
        <v>0</v>
      </c>
    </row>
    <row r="130" spans="1:49" ht="9.75" thickBot="1" x14ac:dyDescent="0.2">
      <c r="A130" s="175"/>
      <c r="B130" s="176"/>
      <c r="C130" s="176"/>
      <c r="D130" s="170" t="str">
        <f t="shared" si="34"/>
        <v xml:space="preserve"> </v>
      </c>
      <c r="E130" s="178"/>
      <c r="F130" s="288">
        <v>0</v>
      </c>
      <c r="G130" s="178">
        <v>37</v>
      </c>
      <c r="H130" s="178">
        <v>37</v>
      </c>
      <c r="I130" s="178"/>
      <c r="J130" s="180"/>
      <c r="K130" s="178"/>
      <c r="L130" s="180"/>
      <c r="M130" s="180"/>
      <c r="N130" s="178"/>
      <c r="O130" s="178"/>
      <c r="P130" s="178"/>
      <c r="Q130" s="171">
        <f>AS130</f>
        <v>0</v>
      </c>
      <c r="R130" s="171">
        <f>AT130</f>
        <v>0</v>
      </c>
      <c r="S130" s="172">
        <f>AU130</f>
        <v>0</v>
      </c>
      <c r="U130" s="144">
        <f>IF(OR(C129=5,C130=5),0,1)</f>
        <v>1</v>
      </c>
      <c r="V130" s="144">
        <f t="shared" si="25"/>
        <v>0</v>
      </c>
      <c r="W130" s="144">
        <f t="shared" si="26"/>
        <v>0</v>
      </c>
      <c r="X130" s="144">
        <f t="shared" si="35"/>
        <v>0</v>
      </c>
      <c r="Y130" s="144">
        <f t="shared" si="27"/>
        <v>34.464599999999997</v>
      </c>
      <c r="Z130" s="169">
        <f t="shared" si="19"/>
        <v>0</v>
      </c>
      <c r="AA130" s="274">
        <f t="shared" si="20"/>
        <v>0</v>
      </c>
      <c r="AB130" s="169">
        <f t="shared" si="28"/>
        <v>0</v>
      </c>
      <c r="AC130" s="274">
        <f t="shared" si="21"/>
        <v>0</v>
      </c>
      <c r="AD130" s="169">
        <f t="shared" si="22"/>
        <v>0</v>
      </c>
      <c r="AE130" s="274">
        <f t="shared" si="23"/>
        <v>0</v>
      </c>
      <c r="AF130" s="169">
        <f t="shared" si="29"/>
        <v>0</v>
      </c>
      <c r="AG130" s="274">
        <f t="shared" si="24"/>
        <v>0</v>
      </c>
      <c r="AH130" s="169">
        <f t="shared" si="30"/>
        <v>0</v>
      </c>
      <c r="AI130" s="169"/>
      <c r="AJ130" s="169">
        <f t="shared" si="31"/>
        <v>0</v>
      </c>
      <c r="AK130" s="169">
        <f t="shared" si="32"/>
        <v>0</v>
      </c>
      <c r="AL130" s="169"/>
      <c r="AM130" s="169">
        <f>AK129*W129+AK130*W130</f>
        <v>0</v>
      </c>
      <c r="AN130" s="169">
        <f>(SUM(AD129:AG129)*W129+SUM(AD130:AG130)*W130)*12*VLOOKUP(C130,JNovergang,3,1)</f>
        <v>0</v>
      </c>
      <c r="AO130" s="169">
        <f>AM130-AN130</f>
        <v>0</v>
      </c>
      <c r="AP130" s="169">
        <f>M130*(100+X130)%</f>
        <v>0</v>
      </c>
      <c r="AQ130" s="274">
        <f>ROUND(M130*F130,2)</f>
        <v>0</v>
      </c>
      <c r="AS130" s="274">
        <f>ROUND((AP130+AQ130)+AM130*(N130/12),0)</f>
        <v>0</v>
      </c>
      <c r="AT130" s="274">
        <f>ROUND(AM130*(O130/12),0)</f>
        <v>0</v>
      </c>
      <c r="AU130" s="274">
        <f>ROUND(AM130*(P130/12)*U130,0)</f>
        <v>0</v>
      </c>
      <c r="AW130" s="144">
        <f t="shared" si="33"/>
        <v>0</v>
      </c>
    </row>
    <row r="131" spans="1:49" x14ac:dyDescent="0.15">
      <c r="A131" s="173"/>
      <c r="B131" s="174"/>
      <c r="C131" s="174"/>
      <c r="D131" s="165" t="str">
        <f t="shared" si="34"/>
        <v xml:space="preserve"> </v>
      </c>
      <c r="E131" s="177"/>
      <c r="F131" s="287">
        <v>0</v>
      </c>
      <c r="G131" s="177">
        <v>37</v>
      </c>
      <c r="H131" s="177">
        <v>37</v>
      </c>
      <c r="I131" s="177"/>
      <c r="J131" s="179"/>
      <c r="K131" s="177"/>
      <c r="L131" s="179"/>
      <c r="M131" s="166"/>
      <c r="N131" s="166"/>
      <c r="O131" s="166"/>
      <c r="P131" s="166"/>
      <c r="Q131" s="167"/>
      <c r="R131" s="167"/>
      <c r="S131" s="168"/>
      <c r="V131" s="144">
        <f t="shared" si="25"/>
        <v>0</v>
      </c>
      <c r="W131" s="144">
        <f t="shared" si="26"/>
        <v>0</v>
      </c>
      <c r="X131" s="144">
        <f t="shared" si="35"/>
        <v>0</v>
      </c>
      <c r="Y131" s="144">
        <f t="shared" si="27"/>
        <v>34.464599999999997</v>
      </c>
      <c r="Z131" s="169">
        <f t="shared" si="19"/>
        <v>0</v>
      </c>
      <c r="AA131" s="274">
        <f t="shared" si="20"/>
        <v>0</v>
      </c>
      <c r="AB131" s="169">
        <f t="shared" si="28"/>
        <v>0</v>
      </c>
      <c r="AC131" s="274">
        <f t="shared" si="21"/>
        <v>0</v>
      </c>
      <c r="AD131" s="169">
        <f t="shared" si="22"/>
        <v>0</v>
      </c>
      <c r="AE131" s="274">
        <f t="shared" si="23"/>
        <v>0</v>
      </c>
      <c r="AF131" s="169">
        <f t="shared" si="29"/>
        <v>0</v>
      </c>
      <c r="AG131" s="274">
        <f t="shared" si="24"/>
        <v>0</v>
      </c>
      <c r="AH131" s="169">
        <f t="shared" si="30"/>
        <v>0</v>
      </c>
      <c r="AI131" s="169"/>
      <c r="AJ131" s="169">
        <f t="shared" si="31"/>
        <v>0</v>
      </c>
      <c r="AK131" s="169">
        <f t="shared" si="32"/>
        <v>0</v>
      </c>
      <c r="AL131" s="169"/>
      <c r="AM131" s="169"/>
      <c r="AN131" s="169"/>
      <c r="AQ131" s="169"/>
      <c r="AW131" s="144">
        <f t="shared" si="33"/>
        <v>0</v>
      </c>
    </row>
    <row r="132" spans="1:49" ht="9.75" thickBot="1" x14ac:dyDescent="0.2">
      <c r="A132" s="175"/>
      <c r="B132" s="176"/>
      <c r="C132" s="176"/>
      <c r="D132" s="170" t="str">
        <f t="shared" si="34"/>
        <v xml:space="preserve"> </v>
      </c>
      <c r="E132" s="178"/>
      <c r="F132" s="288">
        <v>0</v>
      </c>
      <c r="G132" s="178">
        <v>37</v>
      </c>
      <c r="H132" s="178">
        <v>37</v>
      </c>
      <c r="I132" s="178"/>
      <c r="J132" s="180"/>
      <c r="K132" s="178"/>
      <c r="L132" s="180"/>
      <c r="M132" s="180"/>
      <c r="N132" s="178"/>
      <c r="O132" s="178"/>
      <c r="P132" s="178"/>
      <c r="Q132" s="171">
        <f>AS132</f>
        <v>0</v>
      </c>
      <c r="R132" s="171">
        <f>AT132</f>
        <v>0</v>
      </c>
      <c r="S132" s="172">
        <f>AU132</f>
        <v>0</v>
      </c>
      <c r="U132" s="144">
        <f>IF(OR(C131=5,C132=5),0,1)</f>
        <v>1</v>
      </c>
      <c r="V132" s="144">
        <f t="shared" si="25"/>
        <v>0</v>
      </c>
      <c r="W132" s="144">
        <f t="shared" si="26"/>
        <v>0</v>
      </c>
      <c r="X132" s="144">
        <f t="shared" si="35"/>
        <v>0</v>
      </c>
      <c r="Y132" s="144">
        <f t="shared" si="27"/>
        <v>34.464599999999997</v>
      </c>
      <c r="Z132" s="169">
        <f t="shared" si="19"/>
        <v>0</v>
      </c>
      <c r="AA132" s="274">
        <f t="shared" si="20"/>
        <v>0</v>
      </c>
      <c r="AB132" s="169">
        <f t="shared" si="28"/>
        <v>0</v>
      </c>
      <c r="AC132" s="274">
        <f t="shared" si="21"/>
        <v>0</v>
      </c>
      <c r="AD132" s="169">
        <f t="shared" si="22"/>
        <v>0</v>
      </c>
      <c r="AE132" s="274">
        <f t="shared" si="23"/>
        <v>0</v>
      </c>
      <c r="AF132" s="169">
        <f t="shared" si="29"/>
        <v>0</v>
      </c>
      <c r="AG132" s="274">
        <f t="shared" si="24"/>
        <v>0</v>
      </c>
      <c r="AH132" s="169">
        <f t="shared" si="30"/>
        <v>0</v>
      </c>
      <c r="AI132" s="169"/>
      <c r="AJ132" s="169">
        <f t="shared" si="31"/>
        <v>0</v>
      </c>
      <c r="AK132" s="169">
        <f t="shared" si="32"/>
        <v>0</v>
      </c>
      <c r="AL132" s="169"/>
      <c r="AM132" s="169">
        <f>AK131*W131+AK132*W132</f>
        <v>0</v>
      </c>
      <c r="AN132" s="169">
        <f>(SUM(AD131:AG131)*W131+SUM(AD132:AG132)*W132)*12*VLOOKUP(C132,JNovergang,3,1)</f>
        <v>0</v>
      </c>
      <c r="AO132" s="169">
        <f>AM132-AN132</f>
        <v>0</v>
      </c>
      <c r="AP132" s="169">
        <f>M132*(100+X132)%</f>
        <v>0</v>
      </c>
      <c r="AQ132" s="274">
        <f>ROUND(M132*F132,2)</f>
        <v>0</v>
      </c>
      <c r="AS132" s="274">
        <f>ROUND((AP132+AQ132)+AM132*(N132/12),0)</f>
        <v>0</v>
      </c>
      <c r="AT132" s="274">
        <f>ROUND(AM132*(O132/12),0)</f>
        <v>0</v>
      </c>
      <c r="AU132" s="274">
        <f>ROUND(AM132*(P132/12)*U132,0)</f>
        <v>0</v>
      </c>
      <c r="AW132" s="144">
        <f t="shared" si="33"/>
        <v>0</v>
      </c>
    </row>
    <row r="133" spans="1:49" x14ac:dyDescent="0.15">
      <c r="A133" s="173"/>
      <c r="B133" s="174"/>
      <c r="C133" s="174"/>
      <c r="D133" s="165" t="str">
        <f t="shared" si="34"/>
        <v xml:space="preserve"> </v>
      </c>
      <c r="E133" s="177"/>
      <c r="F133" s="287">
        <v>0</v>
      </c>
      <c r="G133" s="177">
        <v>37</v>
      </c>
      <c r="H133" s="177">
        <v>37</v>
      </c>
      <c r="I133" s="177"/>
      <c r="J133" s="179"/>
      <c r="K133" s="177"/>
      <c r="L133" s="179"/>
      <c r="M133" s="166"/>
      <c r="N133" s="166"/>
      <c r="O133" s="166"/>
      <c r="P133" s="166"/>
      <c r="Q133" s="167"/>
      <c r="R133" s="167"/>
      <c r="S133" s="168"/>
      <c r="V133" s="144">
        <f t="shared" si="25"/>
        <v>0</v>
      </c>
      <c r="W133" s="144">
        <f t="shared" si="26"/>
        <v>0</v>
      </c>
      <c r="X133" s="144">
        <f t="shared" si="35"/>
        <v>0</v>
      </c>
      <c r="Y133" s="144">
        <f t="shared" si="27"/>
        <v>34.464599999999997</v>
      </c>
      <c r="Z133" s="169">
        <f t="shared" si="19"/>
        <v>0</v>
      </c>
      <c r="AA133" s="274">
        <f t="shared" si="20"/>
        <v>0</v>
      </c>
      <c r="AB133" s="169">
        <f t="shared" si="28"/>
        <v>0</v>
      </c>
      <c r="AC133" s="274">
        <f t="shared" si="21"/>
        <v>0</v>
      </c>
      <c r="AD133" s="169">
        <f t="shared" si="22"/>
        <v>0</v>
      </c>
      <c r="AE133" s="274">
        <f t="shared" si="23"/>
        <v>0</v>
      </c>
      <c r="AF133" s="169">
        <f t="shared" si="29"/>
        <v>0</v>
      </c>
      <c r="AG133" s="274">
        <f t="shared" si="24"/>
        <v>0</v>
      </c>
      <c r="AH133" s="169">
        <f t="shared" si="30"/>
        <v>0</v>
      </c>
      <c r="AI133" s="169"/>
      <c r="AJ133" s="169">
        <f t="shared" si="31"/>
        <v>0</v>
      </c>
      <c r="AK133" s="169">
        <f t="shared" si="32"/>
        <v>0</v>
      </c>
      <c r="AL133" s="169"/>
      <c r="AM133" s="169"/>
      <c r="AN133" s="169"/>
      <c r="AQ133" s="169"/>
      <c r="AW133" s="144">
        <f t="shared" si="33"/>
        <v>0</v>
      </c>
    </row>
    <row r="134" spans="1:49" ht="9.75" thickBot="1" x14ac:dyDescent="0.2">
      <c r="A134" s="175"/>
      <c r="B134" s="176"/>
      <c r="C134" s="176"/>
      <c r="D134" s="170" t="str">
        <f t="shared" si="34"/>
        <v xml:space="preserve"> </v>
      </c>
      <c r="E134" s="178"/>
      <c r="F134" s="288">
        <v>0</v>
      </c>
      <c r="G134" s="178">
        <v>37</v>
      </c>
      <c r="H134" s="178">
        <v>37</v>
      </c>
      <c r="I134" s="178"/>
      <c r="J134" s="180"/>
      <c r="K134" s="178"/>
      <c r="L134" s="180"/>
      <c r="M134" s="180"/>
      <c r="N134" s="178"/>
      <c r="O134" s="178"/>
      <c r="P134" s="178"/>
      <c r="Q134" s="171">
        <f>AS134</f>
        <v>0</v>
      </c>
      <c r="R134" s="171">
        <f>AT134</f>
        <v>0</v>
      </c>
      <c r="S134" s="172">
        <f>AU134</f>
        <v>0</v>
      </c>
      <c r="U134" s="144">
        <f>IF(OR(C133=5,C134=5),0,1)</f>
        <v>1</v>
      </c>
      <c r="V134" s="144">
        <f t="shared" si="25"/>
        <v>0</v>
      </c>
      <c r="W134" s="144">
        <f t="shared" si="26"/>
        <v>0</v>
      </c>
      <c r="X134" s="144">
        <f t="shared" si="35"/>
        <v>0</v>
      </c>
      <c r="Y134" s="144">
        <f t="shared" si="27"/>
        <v>34.464599999999997</v>
      </c>
      <c r="Z134" s="169">
        <f t="shared" si="19"/>
        <v>0</v>
      </c>
      <c r="AA134" s="274">
        <f t="shared" si="20"/>
        <v>0</v>
      </c>
      <c r="AB134" s="169">
        <f t="shared" si="28"/>
        <v>0</v>
      </c>
      <c r="AC134" s="274">
        <f t="shared" si="21"/>
        <v>0</v>
      </c>
      <c r="AD134" s="169">
        <f t="shared" si="22"/>
        <v>0</v>
      </c>
      <c r="AE134" s="274">
        <f t="shared" si="23"/>
        <v>0</v>
      </c>
      <c r="AF134" s="169">
        <f t="shared" si="29"/>
        <v>0</v>
      </c>
      <c r="AG134" s="274">
        <f t="shared" si="24"/>
        <v>0</v>
      </c>
      <c r="AH134" s="169">
        <f t="shared" si="30"/>
        <v>0</v>
      </c>
      <c r="AI134" s="169"/>
      <c r="AJ134" s="169">
        <f t="shared" si="31"/>
        <v>0</v>
      </c>
      <c r="AK134" s="169">
        <f t="shared" si="32"/>
        <v>0</v>
      </c>
      <c r="AL134" s="169"/>
      <c r="AM134" s="169">
        <f>AK133*W133+AK134*W134</f>
        <v>0</v>
      </c>
      <c r="AN134" s="169">
        <f>(SUM(AD133:AG133)*W133+SUM(AD134:AG134)*W134)*12*VLOOKUP(C134,JNovergang,3,1)</f>
        <v>0</v>
      </c>
      <c r="AO134" s="169">
        <f>AM134-AN134</f>
        <v>0</v>
      </c>
      <c r="AP134" s="169">
        <f>M134*(100+X134)%</f>
        <v>0</v>
      </c>
      <c r="AQ134" s="274">
        <f>ROUND(M134*F134,2)</f>
        <v>0</v>
      </c>
      <c r="AS134" s="274">
        <f>ROUND((AP134+AQ134)+AM134*(N134/12),0)</f>
        <v>0</v>
      </c>
      <c r="AT134" s="274">
        <f>ROUND(AM134*(O134/12),0)</f>
        <v>0</v>
      </c>
      <c r="AU134" s="274">
        <f>ROUND(AM134*(P134/12)*U134,0)</f>
        <v>0</v>
      </c>
      <c r="AW134" s="144">
        <f t="shared" si="33"/>
        <v>0</v>
      </c>
    </row>
    <row r="135" spans="1:49" x14ac:dyDescent="0.15">
      <c r="A135" s="173"/>
      <c r="B135" s="174"/>
      <c r="C135" s="174"/>
      <c r="D135" s="165" t="str">
        <f t="shared" si="34"/>
        <v xml:space="preserve"> </v>
      </c>
      <c r="E135" s="177"/>
      <c r="F135" s="287">
        <v>0</v>
      </c>
      <c r="G135" s="177">
        <v>37</v>
      </c>
      <c r="H135" s="177">
        <v>37</v>
      </c>
      <c r="I135" s="177"/>
      <c r="J135" s="179"/>
      <c r="K135" s="177"/>
      <c r="L135" s="179"/>
      <c r="M135" s="166"/>
      <c r="N135" s="166"/>
      <c r="O135" s="166"/>
      <c r="P135" s="166"/>
      <c r="Q135" s="167"/>
      <c r="R135" s="167"/>
      <c r="S135" s="168"/>
      <c r="V135" s="144">
        <f t="shared" si="25"/>
        <v>0</v>
      </c>
      <c r="W135" s="144">
        <f t="shared" si="26"/>
        <v>0</v>
      </c>
      <c r="X135" s="144">
        <f t="shared" si="35"/>
        <v>0</v>
      </c>
      <c r="Y135" s="144">
        <f t="shared" si="27"/>
        <v>34.464599999999997</v>
      </c>
      <c r="Z135" s="169">
        <f t="shared" si="19"/>
        <v>0</v>
      </c>
      <c r="AA135" s="274">
        <f t="shared" si="20"/>
        <v>0</v>
      </c>
      <c r="AB135" s="169">
        <f t="shared" si="28"/>
        <v>0</v>
      </c>
      <c r="AC135" s="274">
        <f t="shared" si="21"/>
        <v>0</v>
      </c>
      <c r="AD135" s="169">
        <f t="shared" si="22"/>
        <v>0</v>
      </c>
      <c r="AE135" s="274">
        <f t="shared" si="23"/>
        <v>0</v>
      </c>
      <c r="AF135" s="169">
        <f t="shared" si="29"/>
        <v>0</v>
      </c>
      <c r="AG135" s="274">
        <f t="shared" si="24"/>
        <v>0</v>
      </c>
      <c r="AH135" s="169">
        <f t="shared" si="30"/>
        <v>0</v>
      </c>
      <c r="AI135" s="169"/>
      <c r="AJ135" s="169">
        <f t="shared" si="31"/>
        <v>0</v>
      </c>
      <c r="AK135" s="169">
        <f t="shared" si="32"/>
        <v>0</v>
      </c>
      <c r="AL135" s="169"/>
      <c r="AM135" s="169"/>
      <c r="AN135" s="169"/>
      <c r="AQ135" s="169"/>
      <c r="AW135" s="144">
        <f t="shared" si="33"/>
        <v>0</v>
      </c>
    </row>
    <row r="136" spans="1:49" ht="9.75" thickBot="1" x14ac:dyDescent="0.2">
      <c r="A136" s="175"/>
      <c r="B136" s="176"/>
      <c r="C136" s="176"/>
      <c r="D136" s="170" t="str">
        <f t="shared" si="34"/>
        <v xml:space="preserve"> </v>
      </c>
      <c r="E136" s="178"/>
      <c r="F136" s="288">
        <v>0</v>
      </c>
      <c r="G136" s="178">
        <v>37</v>
      </c>
      <c r="H136" s="178">
        <v>37</v>
      </c>
      <c r="I136" s="178"/>
      <c r="J136" s="180"/>
      <c r="K136" s="178"/>
      <c r="L136" s="180"/>
      <c r="M136" s="180"/>
      <c r="N136" s="178"/>
      <c r="O136" s="178"/>
      <c r="P136" s="178"/>
      <c r="Q136" s="171">
        <f>AS136</f>
        <v>0</v>
      </c>
      <c r="R136" s="171">
        <f>AT136</f>
        <v>0</v>
      </c>
      <c r="S136" s="172">
        <f>AU136</f>
        <v>0</v>
      </c>
      <c r="U136" s="144">
        <f>IF(OR(C135=5,C136=5),0,1)</f>
        <v>1</v>
      </c>
      <c r="V136" s="144">
        <f t="shared" si="25"/>
        <v>0</v>
      </c>
      <c r="W136" s="144">
        <f t="shared" si="26"/>
        <v>0</v>
      </c>
      <c r="X136" s="144">
        <f t="shared" si="35"/>
        <v>0</v>
      </c>
      <c r="Y136" s="144">
        <f t="shared" si="27"/>
        <v>34.464599999999997</v>
      </c>
      <c r="Z136" s="169">
        <f t="shared" si="19"/>
        <v>0</v>
      </c>
      <c r="AA136" s="274">
        <f t="shared" si="20"/>
        <v>0</v>
      </c>
      <c r="AB136" s="169">
        <f t="shared" si="28"/>
        <v>0</v>
      </c>
      <c r="AC136" s="274">
        <f t="shared" si="21"/>
        <v>0</v>
      </c>
      <c r="AD136" s="169">
        <f t="shared" si="22"/>
        <v>0</v>
      </c>
      <c r="AE136" s="274">
        <f t="shared" si="23"/>
        <v>0</v>
      </c>
      <c r="AF136" s="169">
        <f t="shared" si="29"/>
        <v>0</v>
      </c>
      <c r="AG136" s="274">
        <f t="shared" si="24"/>
        <v>0</v>
      </c>
      <c r="AH136" s="169">
        <f t="shared" si="30"/>
        <v>0</v>
      </c>
      <c r="AI136" s="169"/>
      <c r="AJ136" s="169">
        <f t="shared" si="31"/>
        <v>0</v>
      </c>
      <c r="AK136" s="169">
        <f t="shared" si="32"/>
        <v>0</v>
      </c>
      <c r="AL136" s="169"/>
      <c r="AM136" s="169">
        <f>AK135*W135+AK136*W136</f>
        <v>0</v>
      </c>
      <c r="AN136" s="169">
        <f>(SUM(AD135:AG135)*W135+SUM(AD136:AG136)*W136)*12*VLOOKUP(C136,JNovergang,3,1)</f>
        <v>0</v>
      </c>
      <c r="AO136" s="169">
        <f>AM136-AN136</f>
        <v>0</v>
      </c>
      <c r="AP136" s="169">
        <f>M136*(100+X136)%</f>
        <v>0</v>
      </c>
      <c r="AQ136" s="274">
        <f>ROUND(M136*F136,2)</f>
        <v>0</v>
      </c>
      <c r="AS136" s="274">
        <f>ROUND((AP136+AQ136)+AM136*(N136/12),0)</f>
        <v>0</v>
      </c>
      <c r="AT136" s="274">
        <f>ROUND(AM136*(O136/12),0)</f>
        <v>0</v>
      </c>
      <c r="AU136" s="274">
        <f>ROUND(AM136*(P136/12)*U136,0)</f>
        <v>0</v>
      </c>
      <c r="AW136" s="144">
        <f t="shared" si="33"/>
        <v>0</v>
      </c>
    </row>
    <row r="137" spans="1:49" x14ac:dyDescent="0.15">
      <c r="A137" s="173"/>
      <c r="B137" s="174"/>
      <c r="C137" s="174"/>
      <c r="D137" s="165" t="str">
        <f t="shared" si="34"/>
        <v xml:space="preserve"> </v>
      </c>
      <c r="E137" s="177"/>
      <c r="F137" s="287">
        <v>0</v>
      </c>
      <c r="G137" s="177">
        <v>37</v>
      </c>
      <c r="H137" s="177">
        <v>37</v>
      </c>
      <c r="I137" s="177"/>
      <c r="J137" s="179"/>
      <c r="K137" s="177"/>
      <c r="L137" s="179"/>
      <c r="M137" s="166"/>
      <c r="N137" s="166"/>
      <c r="O137" s="166"/>
      <c r="P137" s="166"/>
      <c r="Q137" s="167"/>
      <c r="R137" s="167"/>
      <c r="S137" s="168"/>
      <c r="V137" s="144">
        <f t="shared" si="25"/>
        <v>0</v>
      </c>
      <c r="W137" s="144">
        <f t="shared" si="26"/>
        <v>0</v>
      </c>
      <c r="X137" s="144">
        <f t="shared" si="35"/>
        <v>0</v>
      </c>
      <c r="Y137" s="144">
        <f t="shared" si="27"/>
        <v>34.464599999999997</v>
      </c>
      <c r="Z137" s="169">
        <f t="shared" si="19"/>
        <v>0</v>
      </c>
      <c r="AA137" s="274">
        <f t="shared" si="20"/>
        <v>0</v>
      </c>
      <c r="AB137" s="169">
        <f t="shared" si="28"/>
        <v>0</v>
      </c>
      <c r="AC137" s="274">
        <f t="shared" si="21"/>
        <v>0</v>
      </c>
      <c r="AD137" s="169">
        <f t="shared" si="22"/>
        <v>0</v>
      </c>
      <c r="AE137" s="274">
        <f t="shared" si="23"/>
        <v>0</v>
      </c>
      <c r="AF137" s="169">
        <f t="shared" si="29"/>
        <v>0</v>
      </c>
      <c r="AG137" s="274">
        <f t="shared" si="24"/>
        <v>0</v>
      </c>
      <c r="AH137" s="169">
        <f t="shared" si="30"/>
        <v>0</v>
      </c>
      <c r="AI137" s="169"/>
      <c r="AJ137" s="169">
        <f t="shared" si="31"/>
        <v>0</v>
      </c>
      <c r="AK137" s="169">
        <f t="shared" si="32"/>
        <v>0</v>
      </c>
      <c r="AL137" s="169"/>
      <c r="AM137" s="169"/>
      <c r="AN137" s="169"/>
      <c r="AQ137" s="169"/>
      <c r="AW137" s="144">
        <f t="shared" si="33"/>
        <v>0</v>
      </c>
    </row>
    <row r="138" spans="1:49" ht="9.75" thickBot="1" x14ac:dyDescent="0.2">
      <c r="A138" s="175"/>
      <c r="B138" s="176"/>
      <c r="C138" s="176"/>
      <c r="D138" s="170" t="str">
        <f t="shared" si="34"/>
        <v xml:space="preserve"> </v>
      </c>
      <c r="E138" s="178"/>
      <c r="F138" s="288">
        <v>0</v>
      </c>
      <c r="G138" s="178">
        <v>37</v>
      </c>
      <c r="H138" s="178">
        <v>37</v>
      </c>
      <c r="I138" s="178"/>
      <c r="J138" s="180"/>
      <c r="K138" s="178"/>
      <c r="L138" s="180"/>
      <c r="M138" s="180"/>
      <c r="N138" s="178"/>
      <c r="O138" s="178"/>
      <c r="P138" s="178"/>
      <c r="Q138" s="171">
        <f>AS138</f>
        <v>0</v>
      </c>
      <c r="R138" s="171">
        <f>AT138</f>
        <v>0</v>
      </c>
      <c r="S138" s="172">
        <f>AU138</f>
        <v>0</v>
      </c>
      <c r="U138" s="144">
        <f>IF(OR(C137=5,C138=5),0,1)</f>
        <v>1</v>
      </c>
      <c r="V138" s="144">
        <f t="shared" si="25"/>
        <v>0</v>
      </c>
      <c r="W138" s="144">
        <f t="shared" si="26"/>
        <v>0</v>
      </c>
      <c r="X138" s="144">
        <f t="shared" si="35"/>
        <v>0</v>
      </c>
      <c r="Y138" s="144">
        <f t="shared" si="27"/>
        <v>34.464599999999997</v>
      </c>
      <c r="Z138" s="169">
        <f t="shared" si="19"/>
        <v>0</v>
      </c>
      <c r="AA138" s="274">
        <f t="shared" si="20"/>
        <v>0</v>
      </c>
      <c r="AB138" s="169">
        <f t="shared" si="28"/>
        <v>0</v>
      </c>
      <c r="AC138" s="274">
        <f t="shared" si="21"/>
        <v>0</v>
      </c>
      <c r="AD138" s="169">
        <f t="shared" si="22"/>
        <v>0</v>
      </c>
      <c r="AE138" s="274">
        <f t="shared" si="23"/>
        <v>0</v>
      </c>
      <c r="AF138" s="169">
        <f t="shared" si="29"/>
        <v>0</v>
      </c>
      <c r="AG138" s="274">
        <f t="shared" si="24"/>
        <v>0</v>
      </c>
      <c r="AH138" s="169">
        <f t="shared" si="30"/>
        <v>0</v>
      </c>
      <c r="AI138" s="169"/>
      <c r="AJ138" s="169">
        <f t="shared" si="31"/>
        <v>0</v>
      </c>
      <c r="AK138" s="169">
        <f t="shared" si="32"/>
        <v>0</v>
      </c>
      <c r="AL138" s="169"/>
      <c r="AM138" s="169">
        <f>AK137*W137+AK138*W138</f>
        <v>0</v>
      </c>
      <c r="AN138" s="169">
        <f>(SUM(AD137:AG137)*W137+SUM(AD138:AG138)*W138)*12*VLOOKUP(C138,JNovergang,3,1)</f>
        <v>0</v>
      </c>
      <c r="AO138" s="169">
        <f>AM138-AN138</f>
        <v>0</v>
      </c>
      <c r="AP138" s="169">
        <f>M138*(100+X138)%</f>
        <v>0</v>
      </c>
      <c r="AQ138" s="274">
        <f>ROUND(M138*F138,2)</f>
        <v>0</v>
      </c>
      <c r="AS138" s="274">
        <f>ROUND((AP138+AQ138)+AM138*(N138/12),0)</f>
        <v>0</v>
      </c>
      <c r="AT138" s="274">
        <f>ROUND(AM138*(O138/12),0)</f>
        <v>0</v>
      </c>
      <c r="AU138" s="274">
        <f>ROUND(AM138*(P138/12)*U138,0)</f>
        <v>0</v>
      </c>
      <c r="AW138" s="144">
        <f t="shared" si="33"/>
        <v>0</v>
      </c>
    </row>
    <row r="139" spans="1:49" x14ac:dyDescent="0.15">
      <c r="A139" s="173"/>
      <c r="B139" s="174"/>
      <c r="C139" s="174"/>
      <c r="D139" s="165" t="str">
        <f t="shared" si="34"/>
        <v xml:space="preserve"> </v>
      </c>
      <c r="E139" s="177"/>
      <c r="F139" s="287">
        <v>0</v>
      </c>
      <c r="G139" s="177">
        <v>37</v>
      </c>
      <c r="H139" s="177">
        <v>37</v>
      </c>
      <c r="I139" s="177"/>
      <c r="J139" s="179"/>
      <c r="K139" s="177"/>
      <c r="L139" s="179"/>
      <c r="M139" s="166"/>
      <c r="N139" s="166"/>
      <c r="O139" s="166"/>
      <c r="P139" s="166"/>
      <c r="Q139" s="167"/>
      <c r="R139" s="167"/>
      <c r="S139" s="168"/>
      <c r="V139" s="144">
        <f t="shared" si="25"/>
        <v>0</v>
      </c>
      <c r="W139" s="144">
        <f t="shared" si="26"/>
        <v>0</v>
      </c>
      <c r="X139" s="144">
        <f t="shared" si="35"/>
        <v>0</v>
      </c>
      <c r="Y139" s="144">
        <f t="shared" si="27"/>
        <v>34.464599999999997</v>
      </c>
      <c r="Z139" s="169">
        <f t="shared" si="19"/>
        <v>0</v>
      </c>
      <c r="AA139" s="274">
        <f t="shared" si="20"/>
        <v>0</v>
      </c>
      <c r="AB139" s="169">
        <f t="shared" si="28"/>
        <v>0</v>
      </c>
      <c r="AC139" s="274">
        <f t="shared" si="21"/>
        <v>0</v>
      </c>
      <c r="AD139" s="169">
        <f t="shared" si="22"/>
        <v>0</v>
      </c>
      <c r="AE139" s="274">
        <f t="shared" si="23"/>
        <v>0</v>
      </c>
      <c r="AF139" s="169">
        <f t="shared" si="29"/>
        <v>0</v>
      </c>
      <c r="AG139" s="274">
        <f t="shared" si="24"/>
        <v>0</v>
      </c>
      <c r="AH139" s="169">
        <f t="shared" si="30"/>
        <v>0</v>
      </c>
      <c r="AI139" s="169"/>
      <c r="AJ139" s="169">
        <f t="shared" si="31"/>
        <v>0</v>
      </c>
      <c r="AK139" s="169">
        <f t="shared" si="32"/>
        <v>0</v>
      </c>
      <c r="AL139" s="169"/>
      <c r="AM139" s="169"/>
      <c r="AN139" s="169"/>
      <c r="AQ139" s="169"/>
      <c r="AW139" s="144">
        <f t="shared" si="33"/>
        <v>0</v>
      </c>
    </row>
    <row r="140" spans="1:49" ht="9.75" thickBot="1" x14ac:dyDescent="0.2">
      <c r="A140" s="175"/>
      <c r="B140" s="176"/>
      <c r="C140" s="176"/>
      <c r="D140" s="170" t="str">
        <f t="shared" si="34"/>
        <v xml:space="preserve"> </v>
      </c>
      <c r="E140" s="178"/>
      <c r="F140" s="288">
        <v>0</v>
      </c>
      <c r="G140" s="178">
        <v>37</v>
      </c>
      <c r="H140" s="178">
        <v>37</v>
      </c>
      <c r="I140" s="178"/>
      <c r="J140" s="180"/>
      <c r="K140" s="178"/>
      <c r="L140" s="180"/>
      <c r="M140" s="180"/>
      <c r="N140" s="178"/>
      <c r="O140" s="178"/>
      <c r="P140" s="178"/>
      <c r="Q140" s="171">
        <f>AS140</f>
        <v>0</v>
      </c>
      <c r="R140" s="171">
        <f>AT140</f>
        <v>0</v>
      </c>
      <c r="S140" s="172">
        <f>AU140</f>
        <v>0</v>
      </c>
      <c r="U140" s="144">
        <f>IF(OR(C139=5,C140=5),0,1)</f>
        <v>1</v>
      </c>
      <c r="V140" s="144">
        <f t="shared" si="25"/>
        <v>0</v>
      </c>
      <c r="W140" s="144">
        <f t="shared" si="26"/>
        <v>0</v>
      </c>
      <c r="X140" s="144">
        <f t="shared" si="35"/>
        <v>0</v>
      </c>
      <c r="Y140" s="144">
        <f t="shared" si="27"/>
        <v>34.464599999999997</v>
      </c>
      <c r="Z140" s="169">
        <f t="shared" si="19"/>
        <v>0</v>
      </c>
      <c r="AA140" s="274">
        <f t="shared" si="20"/>
        <v>0</v>
      </c>
      <c r="AB140" s="169">
        <f t="shared" si="28"/>
        <v>0</v>
      </c>
      <c r="AC140" s="274">
        <f t="shared" si="21"/>
        <v>0</v>
      </c>
      <c r="AD140" s="169">
        <f t="shared" si="22"/>
        <v>0</v>
      </c>
      <c r="AE140" s="274">
        <f t="shared" si="23"/>
        <v>0</v>
      </c>
      <c r="AF140" s="169">
        <f t="shared" si="29"/>
        <v>0</v>
      </c>
      <c r="AG140" s="274">
        <f t="shared" si="24"/>
        <v>0</v>
      </c>
      <c r="AH140" s="169">
        <f t="shared" si="30"/>
        <v>0</v>
      </c>
      <c r="AI140" s="169"/>
      <c r="AJ140" s="169">
        <f t="shared" si="31"/>
        <v>0</v>
      </c>
      <c r="AK140" s="169">
        <f t="shared" si="32"/>
        <v>0</v>
      </c>
      <c r="AL140" s="169"/>
      <c r="AM140" s="169">
        <f>AK139*W139+AK140*W140</f>
        <v>0</v>
      </c>
      <c r="AN140" s="169">
        <f>(SUM(AD139:AG139)*W139+SUM(AD140:AG140)*W140)*12*VLOOKUP(C140,JNovergang,3,1)</f>
        <v>0</v>
      </c>
      <c r="AO140" s="169">
        <f>AM140-AN140</f>
        <v>0</v>
      </c>
      <c r="AP140" s="169">
        <f>M140*(100+X140)%</f>
        <v>0</v>
      </c>
      <c r="AQ140" s="274">
        <f>ROUND(M140*F140,2)</f>
        <v>0</v>
      </c>
      <c r="AS140" s="274">
        <f>ROUND((AP140+AQ140)+AM140*(N140/12),0)</f>
        <v>0</v>
      </c>
      <c r="AT140" s="274">
        <f>ROUND(AM140*(O140/12),0)</f>
        <v>0</v>
      </c>
      <c r="AU140" s="274">
        <f>ROUND(AM140*(P140/12)*U140,0)</f>
        <v>0</v>
      </c>
      <c r="AW140" s="144">
        <f t="shared" si="33"/>
        <v>0</v>
      </c>
    </row>
    <row r="141" spans="1:49" x14ac:dyDescent="0.15">
      <c r="A141" s="173"/>
      <c r="B141" s="174"/>
      <c r="C141" s="174"/>
      <c r="D141" s="165" t="str">
        <f t="shared" si="34"/>
        <v xml:space="preserve"> </v>
      </c>
      <c r="E141" s="177"/>
      <c r="F141" s="287">
        <v>0</v>
      </c>
      <c r="G141" s="177">
        <v>37</v>
      </c>
      <c r="H141" s="177">
        <v>37</v>
      </c>
      <c r="I141" s="177"/>
      <c r="J141" s="179"/>
      <c r="K141" s="177"/>
      <c r="L141" s="179"/>
      <c r="M141" s="166"/>
      <c r="N141" s="166"/>
      <c r="O141" s="166"/>
      <c r="P141" s="166"/>
      <c r="Q141" s="167"/>
      <c r="R141" s="167"/>
      <c r="S141" s="168"/>
      <c r="V141" s="144">
        <f t="shared" si="25"/>
        <v>0</v>
      </c>
      <c r="W141" s="144">
        <f t="shared" si="26"/>
        <v>0</v>
      </c>
      <c r="X141" s="144">
        <f t="shared" si="35"/>
        <v>0</v>
      </c>
      <c r="Y141" s="144">
        <f t="shared" si="27"/>
        <v>34.464599999999997</v>
      </c>
      <c r="Z141" s="169">
        <f t="shared" si="19"/>
        <v>0</v>
      </c>
      <c r="AA141" s="274">
        <f t="shared" si="20"/>
        <v>0</v>
      </c>
      <c r="AB141" s="169">
        <f t="shared" si="28"/>
        <v>0</v>
      </c>
      <c r="AC141" s="274">
        <f t="shared" si="21"/>
        <v>0</v>
      </c>
      <c r="AD141" s="169">
        <f t="shared" si="22"/>
        <v>0</v>
      </c>
      <c r="AE141" s="274">
        <f t="shared" si="23"/>
        <v>0</v>
      </c>
      <c r="AF141" s="169">
        <f t="shared" si="29"/>
        <v>0</v>
      </c>
      <c r="AG141" s="274">
        <f t="shared" si="24"/>
        <v>0</v>
      </c>
      <c r="AH141" s="169">
        <f t="shared" si="30"/>
        <v>0</v>
      </c>
      <c r="AI141" s="169"/>
      <c r="AJ141" s="169">
        <f t="shared" si="31"/>
        <v>0</v>
      </c>
      <c r="AK141" s="169">
        <f t="shared" si="32"/>
        <v>0</v>
      </c>
      <c r="AL141" s="169"/>
      <c r="AM141" s="169"/>
      <c r="AN141" s="169"/>
      <c r="AQ141" s="169"/>
      <c r="AW141" s="144">
        <f t="shared" si="33"/>
        <v>0</v>
      </c>
    </row>
    <row r="142" spans="1:49" ht="9.75" thickBot="1" x14ac:dyDescent="0.2">
      <c r="A142" s="175"/>
      <c r="B142" s="176"/>
      <c r="C142" s="176"/>
      <c r="D142" s="170" t="str">
        <f t="shared" si="34"/>
        <v xml:space="preserve"> </v>
      </c>
      <c r="E142" s="178"/>
      <c r="F142" s="288">
        <v>0</v>
      </c>
      <c r="G142" s="178">
        <v>37</v>
      </c>
      <c r="H142" s="178">
        <v>37</v>
      </c>
      <c r="I142" s="178"/>
      <c r="J142" s="180"/>
      <c r="K142" s="178"/>
      <c r="L142" s="180"/>
      <c r="M142" s="180"/>
      <c r="N142" s="178"/>
      <c r="O142" s="178"/>
      <c r="P142" s="178"/>
      <c r="Q142" s="171">
        <f>AS142</f>
        <v>0</v>
      </c>
      <c r="R142" s="171">
        <f>AT142</f>
        <v>0</v>
      </c>
      <c r="S142" s="172">
        <f>AU142</f>
        <v>0</v>
      </c>
      <c r="U142" s="144">
        <f>IF(OR(C141=5,C142=5),0,1)</f>
        <v>1</v>
      </c>
      <c r="V142" s="144">
        <f t="shared" si="25"/>
        <v>0</v>
      </c>
      <c r="W142" s="144">
        <f t="shared" si="26"/>
        <v>0</v>
      </c>
      <c r="X142" s="144">
        <f t="shared" si="35"/>
        <v>0</v>
      </c>
      <c r="Y142" s="144">
        <f t="shared" si="27"/>
        <v>34.464599999999997</v>
      </c>
      <c r="Z142" s="169">
        <f t="shared" si="19"/>
        <v>0</v>
      </c>
      <c r="AA142" s="274">
        <f t="shared" si="20"/>
        <v>0</v>
      </c>
      <c r="AB142" s="169">
        <f t="shared" si="28"/>
        <v>0</v>
      </c>
      <c r="AC142" s="274">
        <f t="shared" si="21"/>
        <v>0</v>
      </c>
      <c r="AD142" s="169">
        <f t="shared" si="22"/>
        <v>0</v>
      </c>
      <c r="AE142" s="274">
        <f t="shared" si="23"/>
        <v>0</v>
      </c>
      <c r="AF142" s="169">
        <f t="shared" si="29"/>
        <v>0</v>
      </c>
      <c r="AG142" s="274">
        <f t="shared" si="24"/>
        <v>0</v>
      </c>
      <c r="AH142" s="169">
        <f t="shared" si="30"/>
        <v>0</v>
      </c>
      <c r="AI142" s="169"/>
      <c r="AJ142" s="169">
        <f t="shared" si="31"/>
        <v>0</v>
      </c>
      <c r="AK142" s="169">
        <f t="shared" si="32"/>
        <v>0</v>
      </c>
      <c r="AL142" s="169"/>
      <c r="AM142" s="169">
        <f>AK141*W141+AK142*W142</f>
        <v>0</v>
      </c>
      <c r="AN142" s="169">
        <f>(SUM(AD141:AG141)*W141+SUM(AD142:AG142)*W142)*12*VLOOKUP(C142,JNovergang,3,1)</f>
        <v>0</v>
      </c>
      <c r="AO142" s="169">
        <f>AM142-AN142</f>
        <v>0</v>
      </c>
      <c r="AP142" s="169">
        <f>M142*(100+X142)%</f>
        <v>0</v>
      </c>
      <c r="AQ142" s="274">
        <f>ROUND(M142*F142,2)</f>
        <v>0</v>
      </c>
      <c r="AS142" s="274">
        <f>ROUND((AP142+AQ142)+AM142*(N142/12),0)</f>
        <v>0</v>
      </c>
      <c r="AT142" s="274">
        <f>ROUND(AM142*(O142/12),0)</f>
        <v>0</v>
      </c>
      <c r="AU142" s="274">
        <f>ROUND(AM142*(P142/12)*U142,0)</f>
        <v>0</v>
      </c>
      <c r="AW142" s="144">
        <f t="shared" si="33"/>
        <v>0</v>
      </c>
    </row>
    <row r="143" spans="1:49" x14ac:dyDescent="0.15">
      <c r="A143" s="173"/>
      <c r="B143" s="174"/>
      <c r="C143" s="174"/>
      <c r="D143" s="165" t="str">
        <f t="shared" si="34"/>
        <v xml:space="preserve"> </v>
      </c>
      <c r="E143" s="177"/>
      <c r="F143" s="287">
        <v>0</v>
      </c>
      <c r="G143" s="177">
        <v>37</v>
      </c>
      <c r="H143" s="177">
        <v>37</v>
      </c>
      <c r="I143" s="177"/>
      <c r="J143" s="179"/>
      <c r="K143" s="177"/>
      <c r="L143" s="179"/>
      <c r="M143" s="166"/>
      <c r="N143" s="166"/>
      <c r="O143" s="166"/>
      <c r="P143" s="166"/>
      <c r="Q143" s="167"/>
      <c r="R143" s="167"/>
      <c r="S143" s="168"/>
      <c r="V143" s="144">
        <f t="shared" si="25"/>
        <v>0</v>
      </c>
      <c r="W143" s="144">
        <f t="shared" si="26"/>
        <v>0</v>
      </c>
      <c r="X143" s="144">
        <f t="shared" si="35"/>
        <v>0</v>
      </c>
      <c r="Y143" s="144">
        <f t="shared" si="27"/>
        <v>34.464599999999997</v>
      </c>
      <c r="Z143" s="169">
        <f t="shared" si="19"/>
        <v>0</v>
      </c>
      <c r="AA143" s="274">
        <f t="shared" si="20"/>
        <v>0</v>
      </c>
      <c r="AB143" s="169">
        <f t="shared" si="28"/>
        <v>0</v>
      </c>
      <c r="AC143" s="274">
        <f t="shared" si="21"/>
        <v>0</v>
      </c>
      <c r="AD143" s="169">
        <f t="shared" si="22"/>
        <v>0</v>
      </c>
      <c r="AE143" s="274">
        <f t="shared" si="23"/>
        <v>0</v>
      </c>
      <c r="AF143" s="169">
        <f t="shared" si="29"/>
        <v>0</v>
      </c>
      <c r="AG143" s="274">
        <f t="shared" si="24"/>
        <v>0</v>
      </c>
      <c r="AH143" s="169">
        <f t="shared" si="30"/>
        <v>0</v>
      </c>
      <c r="AI143" s="169"/>
      <c r="AJ143" s="169">
        <f t="shared" si="31"/>
        <v>0</v>
      </c>
      <c r="AK143" s="169">
        <f t="shared" si="32"/>
        <v>0</v>
      </c>
      <c r="AL143" s="169"/>
      <c r="AM143" s="169"/>
      <c r="AN143" s="169"/>
      <c r="AQ143" s="169"/>
      <c r="AW143" s="144">
        <f t="shared" si="33"/>
        <v>0</v>
      </c>
    </row>
    <row r="144" spans="1:49" ht="9.75" thickBot="1" x14ac:dyDescent="0.2">
      <c r="A144" s="175"/>
      <c r="B144" s="176"/>
      <c r="C144" s="176"/>
      <c r="D144" s="170" t="str">
        <f t="shared" si="34"/>
        <v xml:space="preserve"> </v>
      </c>
      <c r="E144" s="178"/>
      <c r="F144" s="288">
        <v>0</v>
      </c>
      <c r="G144" s="178">
        <v>37</v>
      </c>
      <c r="H144" s="178">
        <v>37</v>
      </c>
      <c r="I144" s="178"/>
      <c r="J144" s="180"/>
      <c r="K144" s="178"/>
      <c r="L144" s="180"/>
      <c r="M144" s="180"/>
      <c r="N144" s="178"/>
      <c r="O144" s="178"/>
      <c r="P144" s="178"/>
      <c r="Q144" s="171">
        <f>AS144</f>
        <v>0</v>
      </c>
      <c r="R144" s="171">
        <f>AT144</f>
        <v>0</v>
      </c>
      <c r="S144" s="172">
        <f>AU144</f>
        <v>0</v>
      </c>
      <c r="U144" s="144">
        <f>IF(OR(C143=5,C144=5),0,1)</f>
        <v>1</v>
      </c>
      <c r="V144" s="144">
        <f t="shared" si="25"/>
        <v>0</v>
      </c>
      <c r="W144" s="144">
        <f t="shared" si="26"/>
        <v>0</v>
      </c>
      <c r="X144" s="144">
        <f t="shared" si="35"/>
        <v>0</v>
      </c>
      <c r="Y144" s="144">
        <f t="shared" si="27"/>
        <v>34.464599999999997</v>
      </c>
      <c r="Z144" s="169">
        <f t="shared" si="19"/>
        <v>0</v>
      </c>
      <c r="AA144" s="274">
        <f t="shared" si="20"/>
        <v>0</v>
      </c>
      <c r="AB144" s="169">
        <f t="shared" si="28"/>
        <v>0</v>
      </c>
      <c r="AC144" s="274">
        <f t="shared" si="21"/>
        <v>0</v>
      </c>
      <c r="AD144" s="169">
        <f t="shared" si="22"/>
        <v>0</v>
      </c>
      <c r="AE144" s="274">
        <f t="shared" si="23"/>
        <v>0</v>
      </c>
      <c r="AF144" s="169">
        <f t="shared" si="29"/>
        <v>0</v>
      </c>
      <c r="AG144" s="274">
        <f t="shared" si="24"/>
        <v>0</v>
      </c>
      <c r="AH144" s="169">
        <f t="shared" si="30"/>
        <v>0</v>
      </c>
      <c r="AI144" s="169"/>
      <c r="AJ144" s="169">
        <f t="shared" si="31"/>
        <v>0</v>
      </c>
      <c r="AK144" s="169">
        <f t="shared" si="32"/>
        <v>0</v>
      </c>
      <c r="AL144" s="169"/>
      <c r="AM144" s="169">
        <f>AK143*W143+AK144*W144</f>
        <v>0</v>
      </c>
      <c r="AN144" s="169">
        <f>(SUM(AD143:AG143)*W143+SUM(AD144:AG144)*W144)*12*VLOOKUP(C144,JNovergang,3,1)</f>
        <v>0</v>
      </c>
      <c r="AO144" s="169">
        <f>AM144-AN144</f>
        <v>0</v>
      </c>
      <c r="AP144" s="169">
        <f>M144*(100+X144)%</f>
        <v>0</v>
      </c>
      <c r="AQ144" s="274">
        <f>ROUND(M144*F144,2)</f>
        <v>0</v>
      </c>
      <c r="AS144" s="274">
        <f>ROUND((AP144+AQ144)+AM144*(N144/12),0)</f>
        <v>0</v>
      </c>
      <c r="AT144" s="274">
        <f>ROUND(AM144*(O144/12),0)</f>
        <v>0</v>
      </c>
      <c r="AU144" s="274">
        <f>ROUND(AM144*(P144/12)*U144,0)</f>
        <v>0</v>
      </c>
      <c r="AW144" s="144">
        <f t="shared" si="33"/>
        <v>0</v>
      </c>
    </row>
    <row r="145" spans="1:49" x14ac:dyDescent="0.15">
      <c r="A145" s="173"/>
      <c r="B145" s="174"/>
      <c r="C145" s="174"/>
      <c r="D145" s="165" t="str">
        <f t="shared" si="34"/>
        <v xml:space="preserve"> </v>
      </c>
      <c r="E145" s="177"/>
      <c r="F145" s="287">
        <v>0</v>
      </c>
      <c r="G145" s="177">
        <v>37</v>
      </c>
      <c r="H145" s="177">
        <v>37</v>
      </c>
      <c r="I145" s="177"/>
      <c r="J145" s="179"/>
      <c r="K145" s="177"/>
      <c r="L145" s="179"/>
      <c r="M145" s="166"/>
      <c r="N145" s="166"/>
      <c r="O145" s="166"/>
      <c r="P145" s="166"/>
      <c r="Q145" s="167"/>
      <c r="R145" s="167"/>
      <c r="S145" s="168"/>
      <c r="V145" s="144">
        <f t="shared" si="25"/>
        <v>0</v>
      </c>
      <c r="W145" s="144">
        <f t="shared" si="26"/>
        <v>0</v>
      </c>
      <c r="X145" s="144">
        <f t="shared" si="35"/>
        <v>0</v>
      </c>
      <c r="Y145" s="144">
        <f t="shared" si="27"/>
        <v>34.464599999999997</v>
      </c>
      <c r="Z145" s="169">
        <f t="shared" si="19"/>
        <v>0</v>
      </c>
      <c r="AA145" s="274">
        <f t="shared" si="20"/>
        <v>0</v>
      </c>
      <c r="AB145" s="169">
        <f t="shared" si="28"/>
        <v>0</v>
      </c>
      <c r="AC145" s="274">
        <f t="shared" si="21"/>
        <v>0</v>
      </c>
      <c r="AD145" s="169">
        <f t="shared" si="22"/>
        <v>0</v>
      </c>
      <c r="AE145" s="274">
        <f t="shared" si="23"/>
        <v>0</v>
      </c>
      <c r="AF145" s="169">
        <f t="shared" si="29"/>
        <v>0</v>
      </c>
      <c r="AG145" s="274">
        <f t="shared" si="24"/>
        <v>0</v>
      </c>
      <c r="AH145" s="169">
        <f t="shared" si="30"/>
        <v>0</v>
      </c>
      <c r="AI145" s="169"/>
      <c r="AJ145" s="169">
        <f t="shared" si="31"/>
        <v>0</v>
      </c>
      <c r="AK145" s="169">
        <f t="shared" si="32"/>
        <v>0</v>
      </c>
      <c r="AL145" s="169"/>
      <c r="AM145" s="169"/>
      <c r="AN145" s="169"/>
      <c r="AQ145" s="169"/>
      <c r="AW145" s="144">
        <f t="shared" si="33"/>
        <v>0</v>
      </c>
    </row>
    <row r="146" spans="1:49" ht="9.75" thickBot="1" x14ac:dyDescent="0.2">
      <c r="A146" s="175"/>
      <c r="B146" s="176"/>
      <c r="C146" s="176"/>
      <c r="D146" s="170" t="str">
        <f t="shared" si="34"/>
        <v xml:space="preserve"> </v>
      </c>
      <c r="E146" s="178"/>
      <c r="F146" s="288">
        <v>0</v>
      </c>
      <c r="G146" s="178">
        <v>37</v>
      </c>
      <c r="H146" s="178">
        <v>37</v>
      </c>
      <c r="I146" s="178"/>
      <c r="J146" s="180"/>
      <c r="K146" s="178"/>
      <c r="L146" s="180"/>
      <c r="M146" s="180"/>
      <c r="N146" s="178"/>
      <c r="O146" s="178"/>
      <c r="P146" s="178"/>
      <c r="Q146" s="171">
        <f>AS146</f>
        <v>0</v>
      </c>
      <c r="R146" s="171">
        <f>AT146</f>
        <v>0</v>
      </c>
      <c r="S146" s="172">
        <f>AU146</f>
        <v>0</v>
      </c>
      <c r="U146" s="144">
        <f>IF(OR(C145=5,C146=5),0,1)</f>
        <v>1</v>
      </c>
      <c r="V146" s="144">
        <f t="shared" si="25"/>
        <v>0</v>
      </c>
      <c r="W146" s="144">
        <f t="shared" si="26"/>
        <v>0</v>
      </c>
      <c r="X146" s="144">
        <f t="shared" si="35"/>
        <v>0</v>
      </c>
      <c r="Y146" s="144">
        <f t="shared" si="27"/>
        <v>34.464599999999997</v>
      </c>
      <c r="Z146" s="169">
        <f t="shared" si="19"/>
        <v>0</v>
      </c>
      <c r="AA146" s="274">
        <f t="shared" si="20"/>
        <v>0</v>
      </c>
      <c r="AB146" s="169">
        <f t="shared" si="28"/>
        <v>0</v>
      </c>
      <c r="AC146" s="274">
        <f t="shared" si="21"/>
        <v>0</v>
      </c>
      <c r="AD146" s="169">
        <f t="shared" si="22"/>
        <v>0</v>
      </c>
      <c r="AE146" s="274">
        <f t="shared" si="23"/>
        <v>0</v>
      </c>
      <c r="AF146" s="169">
        <f t="shared" si="29"/>
        <v>0</v>
      </c>
      <c r="AG146" s="274">
        <f t="shared" si="24"/>
        <v>0</v>
      </c>
      <c r="AH146" s="169">
        <f t="shared" si="30"/>
        <v>0</v>
      </c>
      <c r="AI146" s="169"/>
      <c r="AJ146" s="169">
        <f t="shared" si="31"/>
        <v>0</v>
      </c>
      <c r="AK146" s="169">
        <f t="shared" si="32"/>
        <v>0</v>
      </c>
      <c r="AL146" s="169"/>
      <c r="AM146" s="169">
        <f>AK145*W145+AK146*W146</f>
        <v>0</v>
      </c>
      <c r="AN146" s="169">
        <f>(SUM(AD145:AG145)*W145+SUM(AD146:AG146)*W146)*12*VLOOKUP(C146,JNovergang,3,1)</f>
        <v>0</v>
      </c>
      <c r="AO146" s="169">
        <f>AM146-AN146</f>
        <v>0</v>
      </c>
      <c r="AP146" s="169">
        <f>M146*(100+X146)%</f>
        <v>0</v>
      </c>
      <c r="AQ146" s="274">
        <f>ROUND(M146*F146,2)</f>
        <v>0</v>
      </c>
      <c r="AS146" s="274">
        <f>ROUND((AP146+AQ146)+AM146*(N146/12),0)</f>
        <v>0</v>
      </c>
      <c r="AT146" s="274">
        <f>ROUND(AM146*(O146/12),0)</f>
        <v>0</v>
      </c>
      <c r="AU146" s="274">
        <f>ROUND(AM146*(P146/12)*U146,0)</f>
        <v>0</v>
      </c>
      <c r="AW146" s="144">
        <f t="shared" si="33"/>
        <v>0</v>
      </c>
    </row>
    <row r="147" spans="1:49" x14ac:dyDescent="0.15">
      <c r="A147" s="173"/>
      <c r="B147" s="174"/>
      <c r="C147" s="174"/>
      <c r="D147" s="165" t="str">
        <f t="shared" si="34"/>
        <v xml:space="preserve"> </v>
      </c>
      <c r="E147" s="177"/>
      <c r="F147" s="287">
        <v>0</v>
      </c>
      <c r="G147" s="177">
        <v>37</v>
      </c>
      <c r="H147" s="177">
        <v>37</v>
      </c>
      <c r="I147" s="177"/>
      <c r="J147" s="179"/>
      <c r="K147" s="177"/>
      <c r="L147" s="179"/>
      <c r="M147" s="166"/>
      <c r="N147" s="166"/>
      <c r="O147" s="166"/>
      <c r="P147" s="166"/>
      <c r="Q147" s="167"/>
      <c r="R147" s="167"/>
      <c r="S147" s="168"/>
      <c r="V147" s="144">
        <f t="shared" si="25"/>
        <v>0</v>
      </c>
      <c r="W147" s="144">
        <f t="shared" si="26"/>
        <v>0</v>
      </c>
      <c r="X147" s="144">
        <f t="shared" si="35"/>
        <v>0</v>
      </c>
      <c r="Y147" s="144">
        <f t="shared" si="27"/>
        <v>34.464599999999997</v>
      </c>
      <c r="Z147" s="169">
        <f t="shared" si="19"/>
        <v>0</v>
      </c>
      <c r="AA147" s="274">
        <f t="shared" si="20"/>
        <v>0</v>
      </c>
      <c r="AB147" s="169">
        <f t="shared" si="28"/>
        <v>0</v>
      </c>
      <c r="AC147" s="274">
        <f t="shared" si="21"/>
        <v>0</v>
      </c>
      <c r="AD147" s="169">
        <f t="shared" si="22"/>
        <v>0</v>
      </c>
      <c r="AE147" s="274">
        <f t="shared" si="23"/>
        <v>0</v>
      </c>
      <c r="AF147" s="169">
        <f t="shared" si="29"/>
        <v>0</v>
      </c>
      <c r="AG147" s="274">
        <f t="shared" si="24"/>
        <v>0</v>
      </c>
      <c r="AH147" s="169">
        <f t="shared" si="30"/>
        <v>0</v>
      </c>
      <c r="AI147" s="169"/>
      <c r="AJ147" s="169">
        <f t="shared" si="31"/>
        <v>0</v>
      </c>
      <c r="AK147" s="169">
        <f t="shared" si="32"/>
        <v>0</v>
      </c>
      <c r="AL147" s="169"/>
      <c r="AM147" s="169"/>
      <c r="AN147" s="169"/>
      <c r="AQ147" s="169"/>
      <c r="AW147" s="144">
        <f t="shared" si="33"/>
        <v>0</v>
      </c>
    </row>
    <row r="148" spans="1:49" ht="9.75" thickBot="1" x14ac:dyDescent="0.2">
      <c r="A148" s="175"/>
      <c r="B148" s="176"/>
      <c r="C148" s="176"/>
      <c r="D148" s="170" t="str">
        <f t="shared" si="34"/>
        <v xml:space="preserve"> </v>
      </c>
      <c r="E148" s="178"/>
      <c r="F148" s="288">
        <v>0</v>
      </c>
      <c r="G148" s="178">
        <v>37</v>
      </c>
      <c r="H148" s="178">
        <v>37</v>
      </c>
      <c r="I148" s="178"/>
      <c r="J148" s="180"/>
      <c r="K148" s="178"/>
      <c r="L148" s="180"/>
      <c r="M148" s="180"/>
      <c r="N148" s="178"/>
      <c r="O148" s="178"/>
      <c r="P148" s="178"/>
      <c r="Q148" s="171">
        <f>AS148</f>
        <v>0</v>
      </c>
      <c r="R148" s="171">
        <f>AT148</f>
        <v>0</v>
      </c>
      <c r="S148" s="172">
        <f>AU148</f>
        <v>0</v>
      </c>
      <c r="U148" s="144">
        <f>IF(OR(C147=5,C148=5),0,1)</f>
        <v>1</v>
      </c>
      <c r="V148" s="144">
        <f t="shared" si="25"/>
        <v>0</v>
      </c>
      <c r="W148" s="144">
        <f t="shared" si="26"/>
        <v>0</v>
      </c>
      <c r="X148" s="144">
        <f t="shared" si="35"/>
        <v>0</v>
      </c>
      <c r="Y148" s="144">
        <f t="shared" si="27"/>
        <v>34.464599999999997</v>
      </c>
      <c r="Z148" s="169">
        <f t="shared" si="19"/>
        <v>0</v>
      </c>
      <c r="AA148" s="274">
        <f t="shared" si="20"/>
        <v>0</v>
      </c>
      <c r="AB148" s="169">
        <f t="shared" si="28"/>
        <v>0</v>
      </c>
      <c r="AC148" s="274">
        <f t="shared" si="21"/>
        <v>0</v>
      </c>
      <c r="AD148" s="169">
        <f t="shared" si="22"/>
        <v>0</v>
      </c>
      <c r="AE148" s="274">
        <f t="shared" si="23"/>
        <v>0</v>
      </c>
      <c r="AF148" s="169">
        <f t="shared" si="29"/>
        <v>0</v>
      </c>
      <c r="AG148" s="274">
        <f t="shared" si="24"/>
        <v>0</v>
      </c>
      <c r="AH148" s="169">
        <f t="shared" si="30"/>
        <v>0</v>
      </c>
      <c r="AI148" s="169"/>
      <c r="AJ148" s="169">
        <f t="shared" si="31"/>
        <v>0</v>
      </c>
      <c r="AK148" s="169">
        <f t="shared" si="32"/>
        <v>0</v>
      </c>
      <c r="AL148" s="169"/>
      <c r="AM148" s="169">
        <f>AK147*W147+AK148*W148</f>
        <v>0</v>
      </c>
      <c r="AN148" s="169">
        <f>(SUM(AD147:AG147)*W147+SUM(AD148:AG148)*W148)*12*VLOOKUP(C148,JNovergang,3,1)</f>
        <v>0</v>
      </c>
      <c r="AO148" s="169">
        <f>AM148-AN148</f>
        <v>0</v>
      </c>
      <c r="AP148" s="169">
        <f>M148*(100+X148)%</f>
        <v>0</v>
      </c>
      <c r="AQ148" s="274">
        <f>ROUND(M148*F148,2)</f>
        <v>0</v>
      </c>
      <c r="AS148" s="274">
        <f>ROUND((AP148+AQ148)+AM148*(N148/12),0)</f>
        <v>0</v>
      </c>
      <c r="AT148" s="274">
        <f>ROUND(AM148*(O148/12),0)</f>
        <v>0</v>
      </c>
      <c r="AU148" s="274">
        <f>ROUND(AM148*(P148/12)*U148,0)</f>
        <v>0</v>
      </c>
      <c r="AW148" s="144">
        <f t="shared" si="33"/>
        <v>0</v>
      </c>
    </row>
    <row r="149" spans="1:49" x14ac:dyDescent="0.15">
      <c r="A149" s="173"/>
      <c r="B149" s="174"/>
      <c r="C149" s="174"/>
      <c r="D149" s="165" t="str">
        <f t="shared" si="34"/>
        <v xml:space="preserve"> </v>
      </c>
      <c r="E149" s="177"/>
      <c r="F149" s="287">
        <v>0</v>
      </c>
      <c r="G149" s="177">
        <v>37</v>
      </c>
      <c r="H149" s="177">
        <v>37</v>
      </c>
      <c r="I149" s="177"/>
      <c r="J149" s="179"/>
      <c r="K149" s="177"/>
      <c r="L149" s="179"/>
      <c r="M149" s="166"/>
      <c r="N149" s="166"/>
      <c r="O149" s="166"/>
      <c r="P149" s="166"/>
      <c r="Q149" s="167"/>
      <c r="R149" s="167"/>
      <c r="S149" s="168"/>
      <c r="V149" s="144">
        <f t="shared" si="25"/>
        <v>0</v>
      </c>
      <c r="W149" s="144">
        <f t="shared" si="26"/>
        <v>0</v>
      </c>
      <c r="X149" s="144">
        <f t="shared" si="35"/>
        <v>0</v>
      </c>
      <c r="Y149" s="144">
        <f t="shared" si="27"/>
        <v>34.464599999999997</v>
      </c>
      <c r="Z149" s="169">
        <f t="shared" ref="Z149:Z212" si="36">ROUND(VLOOKUP(I149,TabelLønninger,VLOOKUP(E149,TabelLøntabel,2,1),1)*G149/H149,2)</f>
        <v>0</v>
      </c>
      <c r="AA149" s="274">
        <f t="shared" ref="AA149:AA212" si="37">ROUND(VLOOKUP(I149,TabelLønninger,VLOOKUP(E149,TabelPensgivLøn,2))*F149/12*G149/H149,2)</f>
        <v>0</v>
      </c>
      <c r="AB149" s="169">
        <f t="shared" si="28"/>
        <v>0</v>
      </c>
      <c r="AC149" s="274">
        <f t="shared" ref="AC149:AC212" si="38">ROUND(AB149*F149,2)</f>
        <v>0</v>
      </c>
      <c r="AD149" s="169">
        <f t="shared" ref="AD149:AD212" si="39">ROUND(VLOOKUP(I149+K149,TabelLønninger,VLOOKUP(E149,TabelLøntabel,2,1),1)*G149/H149,2)-Z149</f>
        <v>0</v>
      </c>
      <c r="AE149" s="274">
        <f t="shared" ref="AE149:AE212" si="40">ROUND(VLOOKUP(I149+K149,TabelLønninger,VLOOKUP(E149,TabelPensgivLøn,2))*F149/12*G149/H149,2)-AA149</f>
        <v>0</v>
      </c>
      <c r="AF149" s="169">
        <f t="shared" si="29"/>
        <v>0</v>
      </c>
      <c r="AG149" s="274">
        <f t="shared" ref="AG149:AG212" si="41">ROUND(AF149*F149,2)</f>
        <v>0</v>
      </c>
      <c r="AH149" s="169">
        <f t="shared" si="30"/>
        <v>0</v>
      </c>
      <c r="AI149" s="169"/>
      <c r="AJ149" s="169">
        <f t="shared" si="31"/>
        <v>0</v>
      </c>
      <c r="AK149" s="169">
        <f t="shared" si="32"/>
        <v>0</v>
      </c>
      <c r="AL149" s="169"/>
      <c r="AM149" s="169"/>
      <c r="AN149" s="169"/>
      <c r="AQ149" s="169"/>
      <c r="AW149" s="144">
        <f t="shared" si="33"/>
        <v>0</v>
      </c>
    </row>
    <row r="150" spans="1:49" ht="9.75" thickBot="1" x14ac:dyDescent="0.2">
      <c r="A150" s="175"/>
      <c r="B150" s="176"/>
      <c r="C150" s="176"/>
      <c r="D150" s="170" t="str">
        <f t="shared" si="34"/>
        <v xml:space="preserve"> </v>
      </c>
      <c r="E150" s="178"/>
      <c r="F150" s="288">
        <v>0</v>
      </c>
      <c r="G150" s="178">
        <v>37</v>
      </c>
      <c r="H150" s="178">
        <v>37</v>
      </c>
      <c r="I150" s="178"/>
      <c r="J150" s="180"/>
      <c r="K150" s="178"/>
      <c r="L150" s="180"/>
      <c r="M150" s="180"/>
      <c r="N150" s="178"/>
      <c r="O150" s="178"/>
      <c r="P150" s="178"/>
      <c r="Q150" s="171">
        <f>AS150</f>
        <v>0</v>
      </c>
      <c r="R150" s="171">
        <f>AT150</f>
        <v>0</v>
      </c>
      <c r="S150" s="172">
        <f>AU150</f>
        <v>0</v>
      </c>
      <c r="U150" s="144">
        <f>IF(OR(C149=5,C150=5),0,1)</f>
        <v>1</v>
      </c>
      <c r="V150" s="144">
        <f t="shared" ref="V150:V213" si="42">VLOOKUP(C150,TabelRammeforbrug,3,1)</f>
        <v>0</v>
      </c>
      <c r="W150" s="144">
        <f t="shared" ref="W150:W213" si="43">VLOOKUP(C150,FraTil,3,1)</f>
        <v>0</v>
      </c>
      <c r="X150" s="144">
        <f t="shared" si="35"/>
        <v>0</v>
      </c>
      <c r="Y150" s="144">
        <f t="shared" ref="Y150:Y213" si="44">VLOOKUP(E150,TabelPctReg,2)</f>
        <v>34.464599999999997</v>
      </c>
      <c r="Z150" s="169">
        <f t="shared" si="36"/>
        <v>0</v>
      </c>
      <c r="AA150" s="274">
        <f t="shared" si="37"/>
        <v>0</v>
      </c>
      <c r="AB150" s="169">
        <f t="shared" ref="AB150:AB213" si="45">ROUND(J150/12*(1+Y150%),2)*G150/H150</f>
        <v>0</v>
      </c>
      <c r="AC150" s="274">
        <f t="shared" si="38"/>
        <v>0</v>
      </c>
      <c r="AD150" s="169">
        <f t="shared" si="39"/>
        <v>0</v>
      </c>
      <c r="AE150" s="274">
        <f t="shared" si="40"/>
        <v>0</v>
      </c>
      <c r="AF150" s="169">
        <f t="shared" ref="AF150:AF213" si="46">ROUND(L150/12*(1+Y150%),2)*G150/H150</f>
        <v>0</v>
      </c>
      <c r="AG150" s="274">
        <f t="shared" si="41"/>
        <v>0</v>
      </c>
      <c r="AH150" s="169">
        <f t="shared" ref="AH150:AH213" si="47">ROUND((Z150+AB150+AD150+AF150)*X150%,2)</f>
        <v>0</v>
      </c>
      <c r="AI150" s="169"/>
      <c r="AJ150" s="169">
        <f t="shared" ref="AJ150:AJ213" si="48">SUM(Z150:AH150)</f>
        <v>0</v>
      </c>
      <c r="AK150" s="169">
        <f t="shared" ref="AK150:AK213" si="49">AJ150*12</f>
        <v>0</v>
      </c>
      <c r="AL150" s="169"/>
      <c r="AM150" s="169">
        <f>AK149*W149+AK150*W150</f>
        <v>0</v>
      </c>
      <c r="AN150" s="169">
        <f>(SUM(AD149:AG149)*W149+SUM(AD150:AG150)*W150)*12*VLOOKUP(C150,JNovergang,3,1)</f>
        <v>0</v>
      </c>
      <c r="AO150" s="169">
        <f>AM150-AN150</f>
        <v>0</v>
      </c>
      <c r="AP150" s="169">
        <f>M150*(100+X150)%</f>
        <v>0</v>
      </c>
      <c r="AQ150" s="274">
        <f>ROUND(M150*F150,2)</f>
        <v>0</v>
      </c>
      <c r="AS150" s="274">
        <f>ROUND((AP150+AQ150)+AM150*(N150/12),0)</f>
        <v>0</v>
      </c>
      <c r="AT150" s="274">
        <f>ROUND(AM150*(O150/12),0)</f>
        <v>0</v>
      </c>
      <c r="AU150" s="274">
        <f>ROUND(AM150*(P150/12)*U150,0)</f>
        <v>0</v>
      </c>
      <c r="AW150" s="144">
        <f t="shared" ref="AW150:AW213" si="50">IF(ISNUMBER(C150),ROW(),0)</f>
        <v>0</v>
      </c>
    </row>
    <row r="151" spans="1:49" x14ac:dyDescent="0.15">
      <c r="A151" s="173"/>
      <c r="B151" s="174"/>
      <c r="C151" s="174"/>
      <c r="D151" s="165" t="str">
        <f t="shared" si="34"/>
        <v xml:space="preserve"> </v>
      </c>
      <c r="E151" s="177"/>
      <c r="F151" s="287">
        <v>0</v>
      </c>
      <c r="G151" s="177">
        <v>37</v>
      </c>
      <c r="H151" s="177">
        <v>37</v>
      </c>
      <c r="I151" s="177"/>
      <c r="J151" s="179"/>
      <c r="K151" s="177"/>
      <c r="L151" s="179"/>
      <c r="M151" s="166"/>
      <c r="N151" s="166"/>
      <c r="O151" s="166"/>
      <c r="P151" s="166"/>
      <c r="Q151" s="167"/>
      <c r="R151" s="167"/>
      <c r="S151" s="168"/>
      <c r="V151" s="144">
        <f t="shared" si="42"/>
        <v>0</v>
      </c>
      <c r="W151" s="144">
        <f t="shared" si="43"/>
        <v>0</v>
      </c>
      <c r="X151" s="144">
        <f t="shared" si="35"/>
        <v>0</v>
      </c>
      <c r="Y151" s="144">
        <f t="shared" si="44"/>
        <v>34.464599999999997</v>
      </c>
      <c r="Z151" s="169">
        <f t="shared" si="36"/>
        <v>0</v>
      </c>
      <c r="AA151" s="274">
        <f t="shared" si="37"/>
        <v>0</v>
      </c>
      <c r="AB151" s="169">
        <f t="shared" si="45"/>
        <v>0</v>
      </c>
      <c r="AC151" s="274">
        <f t="shared" si="38"/>
        <v>0</v>
      </c>
      <c r="AD151" s="169">
        <f t="shared" si="39"/>
        <v>0</v>
      </c>
      <c r="AE151" s="274">
        <f t="shared" si="40"/>
        <v>0</v>
      </c>
      <c r="AF151" s="169">
        <f t="shared" si="46"/>
        <v>0</v>
      </c>
      <c r="AG151" s="274">
        <f t="shared" si="41"/>
        <v>0</v>
      </c>
      <c r="AH151" s="169">
        <f t="shared" si="47"/>
        <v>0</v>
      </c>
      <c r="AI151" s="169"/>
      <c r="AJ151" s="169">
        <f t="shared" si="48"/>
        <v>0</v>
      </c>
      <c r="AK151" s="169">
        <f t="shared" si="49"/>
        <v>0</v>
      </c>
      <c r="AL151" s="169"/>
      <c r="AM151" s="169"/>
      <c r="AN151" s="169"/>
      <c r="AQ151" s="169"/>
      <c r="AW151" s="144">
        <f t="shared" si="50"/>
        <v>0</v>
      </c>
    </row>
    <row r="152" spans="1:49" ht="9.75" thickBot="1" x14ac:dyDescent="0.2">
      <c r="A152" s="175"/>
      <c r="B152" s="176"/>
      <c r="C152" s="176"/>
      <c r="D152" s="170" t="str">
        <f t="shared" si="34"/>
        <v xml:space="preserve"> </v>
      </c>
      <c r="E152" s="178"/>
      <c r="F152" s="288">
        <v>0</v>
      </c>
      <c r="G152" s="178">
        <v>37</v>
      </c>
      <c r="H152" s="178">
        <v>37</v>
      </c>
      <c r="I152" s="178"/>
      <c r="J152" s="180"/>
      <c r="K152" s="178"/>
      <c r="L152" s="180"/>
      <c r="M152" s="180"/>
      <c r="N152" s="178"/>
      <c r="O152" s="178"/>
      <c r="P152" s="178"/>
      <c r="Q152" s="171">
        <f>AS152</f>
        <v>0</v>
      </c>
      <c r="R152" s="171">
        <f>AT152</f>
        <v>0</v>
      </c>
      <c r="S152" s="172">
        <f>AU152</f>
        <v>0</v>
      </c>
      <c r="U152" s="144">
        <f>IF(OR(C151=5,C152=5),0,1)</f>
        <v>1</v>
      </c>
      <c r="V152" s="144">
        <f t="shared" si="42"/>
        <v>0</v>
      </c>
      <c r="W152" s="144">
        <f t="shared" si="43"/>
        <v>0</v>
      </c>
      <c r="X152" s="144">
        <f t="shared" si="35"/>
        <v>0</v>
      </c>
      <c r="Y152" s="144">
        <f t="shared" si="44"/>
        <v>34.464599999999997</v>
      </c>
      <c r="Z152" s="169">
        <f t="shared" si="36"/>
        <v>0</v>
      </c>
      <c r="AA152" s="274">
        <f t="shared" si="37"/>
        <v>0</v>
      </c>
      <c r="AB152" s="169">
        <f t="shared" si="45"/>
        <v>0</v>
      </c>
      <c r="AC152" s="274">
        <f t="shared" si="38"/>
        <v>0</v>
      </c>
      <c r="AD152" s="169">
        <f t="shared" si="39"/>
        <v>0</v>
      </c>
      <c r="AE152" s="274">
        <f t="shared" si="40"/>
        <v>0</v>
      </c>
      <c r="AF152" s="169">
        <f t="shared" si="46"/>
        <v>0</v>
      </c>
      <c r="AG152" s="274">
        <f t="shared" si="41"/>
        <v>0</v>
      </c>
      <c r="AH152" s="169">
        <f t="shared" si="47"/>
        <v>0</v>
      </c>
      <c r="AI152" s="169"/>
      <c r="AJ152" s="169">
        <f t="shared" si="48"/>
        <v>0</v>
      </c>
      <c r="AK152" s="169">
        <f t="shared" si="49"/>
        <v>0</v>
      </c>
      <c r="AL152" s="169"/>
      <c r="AM152" s="169">
        <f>AK151*W151+AK152*W152</f>
        <v>0</v>
      </c>
      <c r="AN152" s="169">
        <f>(SUM(AD151:AG151)*W151+SUM(AD152:AG152)*W152)*12*VLOOKUP(C152,JNovergang,3,1)</f>
        <v>0</v>
      </c>
      <c r="AO152" s="169">
        <f>AM152-AN152</f>
        <v>0</v>
      </c>
      <c r="AP152" s="169">
        <f>M152*(100+X152)%</f>
        <v>0</v>
      </c>
      <c r="AQ152" s="274">
        <f>ROUND(M152*F152,2)</f>
        <v>0</v>
      </c>
      <c r="AS152" s="274">
        <f>ROUND((AP152+AQ152)+AM152*(N152/12),0)</f>
        <v>0</v>
      </c>
      <c r="AT152" s="274">
        <f>ROUND(AM152*(O152/12),0)</f>
        <v>0</v>
      </c>
      <c r="AU152" s="274">
        <f>ROUND(AM152*(P152/12)*U152,0)</f>
        <v>0</v>
      </c>
      <c r="AW152" s="144">
        <f t="shared" si="50"/>
        <v>0</v>
      </c>
    </row>
    <row r="153" spans="1:49" x14ac:dyDescent="0.15">
      <c r="A153" s="173"/>
      <c r="B153" s="174"/>
      <c r="C153" s="174"/>
      <c r="D153" s="165" t="str">
        <f t="shared" si="34"/>
        <v xml:space="preserve"> </v>
      </c>
      <c r="E153" s="177"/>
      <c r="F153" s="287">
        <v>0</v>
      </c>
      <c r="G153" s="177">
        <v>37</v>
      </c>
      <c r="H153" s="177">
        <v>37</v>
      </c>
      <c r="I153" s="177"/>
      <c r="J153" s="179"/>
      <c r="K153" s="177"/>
      <c r="L153" s="179"/>
      <c r="M153" s="166"/>
      <c r="N153" s="166"/>
      <c r="O153" s="166"/>
      <c r="P153" s="166"/>
      <c r="Q153" s="167"/>
      <c r="R153" s="167"/>
      <c r="S153" s="168"/>
      <c r="V153" s="144">
        <f t="shared" si="42"/>
        <v>0</v>
      </c>
      <c r="W153" s="144">
        <f t="shared" si="43"/>
        <v>0</v>
      </c>
      <c r="X153" s="144">
        <f t="shared" si="35"/>
        <v>0</v>
      </c>
      <c r="Y153" s="144">
        <f t="shared" si="44"/>
        <v>34.464599999999997</v>
      </c>
      <c r="Z153" s="169">
        <f t="shared" si="36"/>
        <v>0</v>
      </c>
      <c r="AA153" s="274">
        <f t="shared" si="37"/>
        <v>0</v>
      </c>
      <c r="AB153" s="169">
        <f t="shared" si="45"/>
        <v>0</v>
      </c>
      <c r="AC153" s="274">
        <f t="shared" si="38"/>
        <v>0</v>
      </c>
      <c r="AD153" s="169">
        <f t="shared" si="39"/>
        <v>0</v>
      </c>
      <c r="AE153" s="274">
        <f t="shared" si="40"/>
        <v>0</v>
      </c>
      <c r="AF153" s="169">
        <f t="shared" si="46"/>
        <v>0</v>
      </c>
      <c r="AG153" s="274">
        <f t="shared" si="41"/>
        <v>0</v>
      </c>
      <c r="AH153" s="169">
        <f t="shared" si="47"/>
        <v>0</v>
      </c>
      <c r="AI153" s="169"/>
      <c r="AJ153" s="169">
        <f t="shared" si="48"/>
        <v>0</v>
      </c>
      <c r="AK153" s="169">
        <f t="shared" si="49"/>
        <v>0</v>
      </c>
      <c r="AL153" s="169"/>
      <c r="AM153" s="169"/>
      <c r="AN153" s="169"/>
      <c r="AQ153" s="169"/>
      <c r="AW153" s="144">
        <f t="shared" si="50"/>
        <v>0</v>
      </c>
    </row>
    <row r="154" spans="1:49" ht="9.75" thickBot="1" x14ac:dyDescent="0.2">
      <c r="A154" s="175"/>
      <c r="B154" s="176"/>
      <c r="C154" s="176"/>
      <c r="D154" s="170" t="str">
        <f t="shared" si="34"/>
        <v xml:space="preserve"> </v>
      </c>
      <c r="E154" s="178"/>
      <c r="F154" s="288">
        <v>0</v>
      </c>
      <c r="G154" s="178">
        <v>37</v>
      </c>
      <c r="H154" s="178">
        <v>37</v>
      </c>
      <c r="I154" s="178"/>
      <c r="J154" s="180"/>
      <c r="K154" s="178"/>
      <c r="L154" s="180"/>
      <c r="M154" s="180"/>
      <c r="N154" s="178"/>
      <c r="O154" s="178"/>
      <c r="P154" s="178"/>
      <c r="Q154" s="171">
        <f>AS154</f>
        <v>0</v>
      </c>
      <c r="R154" s="171">
        <f>AT154</f>
        <v>0</v>
      </c>
      <c r="S154" s="172">
        <f>AU154</f>
        <v>0</v>
      </c>
      <c r="U154" s="144">
        <f>IF(OR(C153=5,C154=5),0,1)</f>
        <v>1</v>
      </c>
      <c r="V154" s="144">
        <f t="shared" si="42"/>
        <v>0</v>
      </c>
      <c r="W154" s="144">
        <f t="shared" si="43"/>
        <v>0</v>
      </c>
      <c r="X154" s="144">
        <f t="shared" si="35"/>
        <v>0</v>
      </c>
      <c r="Y154" s="144">
        <f t="shared" si="44"/>
        <v>34.464599999999997</v>
      </c>
      <c r="Z154" s="169">
        <f t="shared" si="36"/>
        <v>0</v>
      </c>
      <c r="AA154" s="274">
        <f t="shared" si="37"/>
        <v>0</v>
      </c>
      <c r="AB154" s="169">
        <f t="shared" si="45"/>
        <v>0</v>
      </c>
      <c r="AC154" s="274">
        <f t="shared" si="38"/>
        <v>0</v>
      </c>
      <c r="AD154" s="169">
        <f t="shared" si="39"/>
        <v>0</v>
      </c>
      <c r="AE154" s="274">
        <f t="shared" si="40"/>
        <v>0</v>
      </c>
      <c r="AF154" s="169">
        <f t="shared" si="46"/>
        <v>0</v>
      </c>
      <c r="AG154" s="274">
        <f t="shared" si="41"/>
        <v>0</v>
      </c>
      <c r="AH154" s="169">
        <f t="shared" si="47"/>
        <v>0</v>
      </c>
      <c r="AI154" s="169"/>
      <c r="AJ154" s="169">
        <f t="shared" si="48"/>
        <v>0</v>
      </c>
      <c r="AK154" s="169">
        <f t="shared" si="49"/>
        <v>0</v>
      </c>
      <c r="AL154" s="169"/>
      <c r="AM154" s="169">
        <f>AK153*W153+AK154*W154</f>
        <v>0</v>
      </c>
      <c r="AN154" s="169">
        <f>(SUM(AD153:AG153)*W153+SUM(AD154:AG154)*W154)*12*VLOOKUP(C154,JNovergang,3,1)</f>
        <v>0</v>
      </c>
      <c r="AO154" s="169">
        <f>AM154-AN154</f>
        <v>0</v>
      </c>
      <c r="AP154" s="169">
        <f>M154*(100+X154)%</f>
        <v>0</v>
      </c>
      <c r="AQ154" s="274">
        <f>ROUND(M154*F154,2)</f>
        <v>0</v>
      </c>
      <c r="AS154" s="274">
        <f>ROUND((AP154+AQ154)+AM154*(N154/12),0)</f>
        <v>0</v>
      </c>
      <c r="AT154" s="274">
        <f>ROUND(AM154*(O154/12),0)</f>
        <v>0</v>
      </c>
      <c r="AU154" s="274">
        <f>ROUND(AM154*(P154/12)*U154,0)</f>
        <v>0</v>
      </c>
      <c r="AW154" s="144">
        <f t="shared" si="50"/>
        <v>0</v>
      </c>
    </row>
    <row r="155" spans="1:49" x14ac:dyDescent="0.15">
      <c r="A155" s="173"/>
      <c r="B155" s="174"/>
      <c r="C155" s="174"/>
      <c r="D155" s="165" t="str">
        <f t="shared" si="34"/>
        <v xml:space="preserve"> </v>
      </c>
      <c r="E155" s="177"/>
      <c r="F155" s="287">
        <v>0</v>
      </c>
      <c r="G155" s="177">
        <v>37</v>
      </c>
      <c r="H155" s="177">
        <v>37</v>
      </c>
      <c r="I155" s="177"/>
      <c r="J155" s="179"/>
      <c r="K155" s="177"/>
      <c r="L155" s="179"/>
      <c r="M155" s="166"/>
      <c r="N155" s="166"/>
      <c r="O155" s="166"/>
      <c r="P155" s="166"/>
      <c r="Q155" s="167"/>
      <c r="R155" s="167"/>
      <c r="S155" s="168"/>
      <c r="V155" s="144">
        <f t="shared" si="42"/>
        <v>0</v>
      </c>
      <c r="W155" s="144">
        <f t="shared" si="43"/>
        <v>0</v>
      </c>
      <c r="X155" s="144">
        <f t="shared" si="35"/>
        <v>0</v>
      </c>
      <c r="Y155" s="144">
        <f t="shared" si="44"/>
        <v>34.464599999999997</v>
      </c>
      <c r="Z155" s="169">
        <f t="shared" si="36"/>
        <v>0</v>
      </c>
      <c r="AA155" s="274">
        <f t="shared" si="37"/>
        <v>0</v>
      </c>
      <c r="AB155" s="169">
        <f t="shared" si="45"/>
        <v>0</v>
      </c>
      <c r="AC155" s="274">
        <f t="shared" si="38"/>
        <v>0</v>
      </c>
      <c r="AD155" s="169">
        <f t="shared" si="39"/>
        <v>0</v>
      </c>
      <c r="AE155" s="274">
        <f t="shared" si="40"/>
        <v>0</v>
      </c>
      <c r="AF155" s="169">
        <f t="shared" si="46"/>
        <v>0</v>
      </c>
      <c r="AG155" s="274">
        <f t="shared" si="41"/>
        <v>0</v>
      </c>
      <c r="AH155" s="169">
        <f t="shared" si="47"/>
        <v>0</v>
      </c>
      <c r="AI155" s="169"/>
      <c r="AJ155" s="169">
        <f t="shared" si="48"/>
        <v>0</v>
      </c>
      <c r="AK155" s="169">
        <f t="shared" si="49"/>
        <v>0</v>
      </c>
      <c r="AL155" s="169"/>
      <c r="AM155" s="169"/>
      <c r="AN155" s="169"/>
      <c r="AQ155" s="169"/>
      <c r="AW155" s="144">
        <f t="shared" si="50"/>
        <v>0</v>
      </c>
    </row>
    <row r="156" spans="1:49" ht="9.75" thickBot="1" x14ac:dyDescent="0.2">
      <c r="A156" s="175"/>
      <c r="B156" s="176"/>
      <c r="C156" s="176"/>
      <c r="D156" s="170" t="str">
        <f t="shared" si="34"/>
        <v xml:space="preserve"> </v>
      </c>
      <c r="E156" s="178"/>
      <c r="F156" s="288">
        <v>0</v>
      </c>
      <c r="G156" s="178">
        <v>37</v>
      </c>
      <c r="H156" s="178">
        <v>37</v>
      </c>
      <c r="I156" s="178"/>
      <c r="J156" s="180"/>
      <c r="K156" s="178"/>
      <c r="L156" s="180"/>
      <c r="M156" s="180"/>
      <c r="N156" s="178"/>
      <c r="O156" s="178"/>
      <c r="P156" s="178"/>
      <c r="Q156" s="171">
        <f>AS156</f>
        <v>0</v>
      </c>
      <c r="R156" s="171">
        <f>AT156</f>
        <v>0</v>
      </c>
      <c r="S156" s="172">
        <f>AU156</f>
        <v>0</v>
      </c>
      <c r="U156" s="144">
        <f>IF(OR(C155=5,C156=5),0,1)</f>
        <v>1</v>
      </c>
      <c r="V156" s="144">
        <f t="shared" si="42"/>
        <v>0</v>
      </c>
      <c r="W156" s="144">
        <f t="shared" si="43"/>
        <v>0</v>
      </c>
      <c r="X156" s="144">
        <f t="shared" si="35"/>
        <v>0</v>
      </c>
      <c r="Y156" s="144">
        <f t="shared" si="44"/>
        <v>34.464599999999997</v>
      </c>
      <c r="Z156" s="169">
        <f t="shared" si="36"/>
        <v>0</v>
      </c>
      <c r="AA156" s="274">
        <f t="shared" si="37"/>
        <v>0</v>
      </c>
      <c r="AB156" s="169">
        <f t="shared" si="45"/>
        <v>0</v>
      </c>
      <c r="AC156" s="274">
        <f t="shared" si="38"/>
        <v>0</v>
      </c>
      <c r="AD156" s="169">
        <f t="shared" si="39"/>
        <v>0</v>
      </c>
      <c r="AE156" s="274">
        <f t="shared" si="40"/>
        <v>0</v>
      </c>
      <c r="AF156" s="169">
        <f t="shared" si="46"/>
        <v>0</v>
      </c>
      <c r="AG156" s="274">
        <f t="shared" si="41"/>
        <v>0</v>
      </c>
      <c r="AH156" s="169">
        <f t="shared" si="47"/>
        <v>0</v>
      </c>
      <c r="AI156" s="169"/>
      <c r="AJ156" s="169">
        <f t="shared" si="48"/>
        <v>0</v>
      </c>
      <c r="AK156" s="169">
        <f t="shared" si="49"/>
        <v>0</v>
      </c>
      <c r="AL156" s="169"/>
      <c r="AM156" s="169">
        <f>AK155*W155+AK156*W156</f>
        <v>0</v>
      </c>
      <c r="AN156" s="169">
        <f>(SUM(AD155:AG155)*W155+SUM(AD156:AG156)*W156)*12*VLOOKUP(C156,JNovergang,3,1)</f>
        <v>0</v>
      </c>
      <c r="AO156" s="169">
        <f>AM156-AN156</f>
        <v>0</v>
      </c>
      <c r="AP156" s="169">
        <f>M156*(100+X156)%</f>
        <v>0</v>
      </c>
      <c r="AQ156" s="274">
        <f>ROUND(M156*F156,2)</f>
        <v>0</v>
      </c>
      <c r="AS156" s="274">
        <f>ROUND((AP156+AQ156)+AM156*(N156/12),0)</f>
        <v>0</v>
      </c>
      <c r="AT156" s="274">
        <f>ROUND(AM156*(O156/12),0)</f>
        <v>0</v>
      </c>
      <c r="AU156" s="274">
        <f>ROUND(AM156*(P156/12)*U156,0)</f>
        <v>0</v>
      </c>
      <c r="AW156" s="144">
        <f t="shared" si="50"/>
        <v>0</v>
      </c>
    </row>
    <row r="157" spans="1:49" x14ac:dyDescent="0.15">
      <c r="A157" s="173"/>
      <c r="B157" s="174"/>
      <c r="C157" s="174"/>
      <c r="D157" s="165" t="str">
        <f t="shared" si="34"/>
        <v xml:space="preserve"> </v>
      </c>
      <c r="E157" s="177"/>
      <c r="F157" s="287">
        <v>0</v>
      </c>
      <c r="G157" s="177">
        <v>37</v>
      </c>
      <c r="H157" s="177">
        <v>37</v>
      </c>
      <c r="I157" s="177"/>
      <c r="J157" s="179"/>
      <c r="K157" s="177"/>
      <c r="L157" s="179"/>
      <c r="M157" s="166"/>
      <c r="N157" s="166"/>
      <c r="O157" s="166"/>
      <c r="P157" s="166"/>
      <c r="Q157" s="167"/>
      <c r="R157" s="167"/>
      <c r="S157" s="168"/>
      <c r="V157" s="144">
        <f t="shared" si="42"/>
        <v>0</v>
      </c>
      <c r="W157" s="144">
        <f t="shared" si="43"/>
        <v>0</v>
      </c>
      <c r="X157" s="144">
        <f t="shared" si="35"/>
        <v>0</v>
      </c>
      <c r="Y157" s="144">
        <f t="shared" si="44"/>
        <v>34.464599999999997</v>
      </c>
      <c r="Z157" s="169">
        <f t="shared" si="36"/>
        <v>0</v>
      </c>
      <c r="AA157" s="274">
        <f t="shared" si="37"/>
        <v>0</v>
      </c>
      <c r="AB157" s="169">
        <f t="shared" si="45"/>
        <v>0</v>
      </c>
      <c r="AC157" s="274">
        <f t="shared" si="38"/>
        <v>0</v>
      </c>
      <c r="AD157" s="169">
        <f t="shared" si="39"/>
        <v>0</v>
      </c>
      <c r="AE157" s="274">
        <f t="shared" si="40"/>
        <v>0</v>
      </c>
      <c r="AF157" s="169">
        <f t="shared" si="46"/>
        <v>0</v>
      </c>
      <c r="AG157" s="274">
        <f t="shared" si="41"/>
        <v>0</v>
      </c>
      <c r="AH157" s="169">
        <f t="shared" si="47"/>
        <v>0</v>
      </c>
      <c r="AI157" s="169"/>
      <c r="AJ157" s="169">
        <f t="shared" si="48"/>
        <v>0</v>
      </c>
      <c r="AK157" s="169">
        <f t="shared" si="49"/>
        <v>0</v>
      </c>
      <c r="AL157" s="169"/>
      <c r="AM157" s="169"/>
      <c r="AN157" s="169"/>
      <c r="AQ157" s="169"/>
      <c r="AW157" s="144">
        <f t="shared" si="50"/>
        <v>0</v>
      </c>
    </row>
    <row r="158" spans="1:49" ht="9.75" thickBot="1" x14ac:dyDescent="0.2">
      <c r="A158" s="175"/>
      <c r="B158" s="176"/>
      <c r="C158" s="176"/>
      <c r="D158" s="170" t="str">
        <f t="shared" si="34"/>
        <v xml:space="preserve"> </v>
      </c>
      <c r="E158" s="178"/>
      <c r="F158" s="288">
        <v>0</v>
      </c>
      <c r="G158" s="178">
        <v>37</v>
      </c>
      <c r="H158" s="178">
        <v>37</v>
      </c>
      <c r="I158" s="178"/>
      <c r="J158" s="180"/>
      <c r="K158" s="178"/>
      <c r="L158" s="180"/>
      <c r="M158" s="180"/>
      <c r="N158" s="178"/>
      <c r="O158" s="178"/>
      <c r="P158" s="178"/>
      <c r="Q158" s="171">
        <f>AS158</f>
        <v>0</v>
      </c>
      <c r="R158" s="171">
        <f>AT158</f>
        <v>0</v>
      </c>
      <c r="S158" s="172">
        <f>AU158</f>
        <v>0</v>
      </c>
      <c r="U158" s="144">
        <f>IF(OR(C157=5,C158=5),0,1)</f>
        <v>1</v>
      </c>
      <c r="V158" s="144">
        <f t="shared" si="42"/>
        <v>0</v>
      </c>
      <c r="W158" s="144">
        <f t="shared" si="43"/>
        <v>0</v>
      </c>
      <c r="X158" s="144">
        <f t="shared" si="35"/>
        <v>0</v>
      </c>
      <c r="Y158" s="144">
        <f t="shared" si="44"/>
        <v>34.464599999999997</v>
      </c>
      <c r="Z158" s="169">
        <f t="shared" si="36"/>
        <v>0</v>
      </c>
      <c r="AA158" s="274">
        <f t="shared" si="37"/>
        <v>0</v>
      </c>
      <c r="AB158" s="169">
        <f t="shared" si="45"/>
        <v>0</v>
      </c>
      <c r="AC158" s="274">
        <f t="shared" si="38"/>
        <v>0</v>
      </c>
      <c r="AD158" s="169">
        <f t="shared" si="39"/>
        <v>0</v>
      </c>
      <c r="AE158" s="274">
        <f t="shared" si="40"/>
        <v>0</v>
      </c>
      <c r="AF158" s="169">
        <f t="shared" si="46"/>
        <v>0</v>
      </c>
      <c r="AG158" s="274">
        <f t="shared" si="41"/>
        <v>0</v>
      </c>
      <c r="AH158" s="169">
        <f t="shared" si="47"/>
        <v>0</v>
      </c>
      <c r="AI158" s="169"/>
      <c r="AJ158" s="169">
        <f t="shared" si="48"/>
        <v>0</v>
      </c>
      <c r="AK158" s="169">
        <f t="shared" si="49"/>
        <v>0</v>
      </c>
      <c r="AL158" s="169"/>
      <c r="AM158" s="169">
        <f>AK157*W157+AK158*W158</f>
        <v>0</v>
      </c>
      <c r="AN158" s="169">
        <f>(SUM(AD157:AG157)*W157+SUM(AD158:AG158)*W158)*12*VLOOKUP(C158,JNovergang,3,1)</f>
        <v>0</v>
      </c>
      <c r="AO158" s="169">
        <f>AM158-AN158</f>
        <v>0</v>
      </c>
      <c r="AP158" s="169">
        <f>M158*(100+X158)%</f>
        <v>0</v>
      </c>
      <c r="AQ158" s="274">
        <f>ROUND(M158*F158,2)</f>
        <v>0</v>
      </c>
      <c r="AS158" s="274">
        <f>ROUND((AP158+AQ158)+AM158*(N158/12),0)</f>
        <v>0</v>
      </c>
      <c r="AT158" s="274">
        <f>ROUND(AM158*(O158/12),0)</f>
        <v>0</v>
      </c>
      <c r="AU158" s="274">
        <f>ROUND(AM158*(P158/12)*U158,0)</f>
        <v>0</v>
      </c>
      <c r="AW158" s="144">
        <f t="shared" si="50"/>
        <v>0</v>
      </c>
    </row>
    <row r="159" spans="1:49" x14ac:dyDescent="0.15">
      <c r="A159" s="173"/>
      <c r="B159" s="174"/>
      <c r="C159" s="174"/>
      <c r="D159" s="165" t="str">
        <f t="shared" si="34"/>
        <v xml:space="preserve"> </v>
      </c>
      <c r="E159" s="177"/>
      <c r="F159" s="287">
        <v>0</v>
      </c>
      <c r="G159" s="177">
        <v>37</v>
      </c>
      <c r="H159" s="177">
        <v>37</v>
      </c>
      <c r="I159" s="177"/>
      <c r="J159" s="179"/>
      <c r="K159" s="177"/>
      <c r="L159" s="179"/>
      <c r="M159" s="166"/>
      <c r="N159" s="166"/>
      <c r="O159" s="166"/>
      <c r="P159" s="166"/>
      <c r="Q159" s="167"/>
      <c r="R159" s="167"/>
      <c r="S159" s="168"/>
      <c r="V159" s="144">
        <f t="shared" si="42"/>
        <v>0</v>
      </c>
      <c r="W159" s="144">
        <f t="shared" si="43"/>
        <v>0</v>
      </c>
      <c r="X159" s="144">
        <f t="shared" si="35"/>
        <v>0</v>
      </c>
      <c r="Y159" s="144">
        <f t="shared" si="44"/>
        <v>34.464599999999997</v>
      </c>
      <c r="Z159" s="169">
        <f t="shared" si="36"/>
        <v>0</v>
      </c>
      <c r="AA159" s="274">
        <f t="shared" si="37"/>
        <v>0</v>
      </c>
      <c r="AB159" s="169">
        <f t="shared" si="45"/>
        <v>0</v>
      </c>
      <c r="AC159" s="274">
        <f t="shared" si="38"/>
        <v>0</v>
      </c>
      <c r="AD159" s="169">
        <f t="shared" si="39"/>
        <v>0</v>
      </c>
      <c r="AE159" s="274">
        <f t="shared" si="40"/>
        <v>0</v>
      </c>
      <c r="AF159" s="169">
        <f t="shared" si="46"/>
        <v>0</v>
      </c>
      <c r="AG159" s="274">
        <f t="shared" si="41"/>
        <v>0</v>
      </c>
      <c r="AH159" s="169">
        <f t="shared" si="47"/>
        <v>0</v>
      </c>
      <c r="AI159" s="169"/>
      <c r="AJ159" s="169">
        <f t="shared" si="48"/>
        <v>0</v>
      </c>
      <c r="AK159" s="169">
        <f t="shared" si="49"/>
        <v>0</v>
      </c>
      <c r="AL159" s="169"/>
      <c r="AM159" s="169"/>
      <c r="AN159" s="169"/>
      <c r="AQ159" s="169"/>
      <c r="AW159" s="144">
        <f t="shared" si="50"/>
        <v>0</v>
      </c>
    </row>
    <row r="160" spans="1:49" ht="9.75" thickBot="1" x14ac:dyDescent="0.2">
      <c r="A160" s="175"/>
      <c r="B160" s="176"/>
      <c r="C160" s="176"/>
      <c r="D160" s="170" t="str">
        <f t="shared" si="34"/>
        <v xml:space="preserve"> </v>
      </c>
      <c r="E160" s="178"/>
      <c r="F160" s="288">
        <v>0</v>
      </c>
      <c r="G160" s="178">
        <v>37</v>
      </c>
      <c r="H160" s="178">
        <v>37</v>
      </c>
      <c r="I160" s="178"/>
      <c r="J160" s="180"/>
      <c r="K160" s="178"/>
      <c r="L160" s="180"/>
      <c r="M160" s="180"/>
      <c r="N160" s="178"/>
      <c r="O160" s="178"/>
      <c r="P160" s="178"/>
      <c r="Q160" s="171">
        <f>AS160</f>
        <v>0</v>
      </c>
      <c r="R160" s="171">
        <f>AT160</f>
        <v>0</v>
      </c>
      <c r="S160" s="172">
        <f>AU160</f>
        <v>0</v>
      </c>
      <c r="U160" s="144">
        <f>IF(OR(C159=5,C160=5),0,1)</f>
        <v>1</v>
      </c>
      <c r="V160" s="144">
        <f t="shared" si="42"/>
        <v>0</v>
      </c>
      <c r="W160" s="144">
        <f t="shared" si="43"/>
        <v>0</v>
      </c>
      <c r="X160" s="144">
        <f t="shared" si="35"/>
        <v>0</v>
      </c>
      <c r="Y160" s="144">
        <f t="shared" si="44"/>
        <v>34.464599999999997</v>
      </c>
      <c r="Z160" s="169">
        <f t="shared" si="36"/>
        <v>0</v>
      </c>
      <c r="AA160" s="274">
        <f t="shared" si="37"/>
        <v>0</v>
      </c>
      <c r="AB160" s="169">
        <f t="shared" si="45"/>
        <v>0</v>
      </c>
      <c r="AC160" s="274">
        <f t="shared" si="38"/>
        <v>0</v>
      </c>
      <c r="AD160" s="169">
        <f t="shared" si="39"/>
        <v>0</v>
      </c>
      <c r="AE160" s="274">
        <f t="shared" si="40"/>
        <v>0</v>
      </c>
      <c r="AF160" s="169">
        <f t="shared" si="46"/>
        <v>0</v>
      </c>
      <c r="AG160" s="274">
        <f t="shared" si="41"/>
        <v>0</v>
      </c>
      <c r="AH160" s="169">
        <f t="shared" si="47"/>
        <v>0</v>
      </c>
      <c r="AI160" s="169"/>
      <c r="AJ160" s="169">
        <f t="shared" si="48"/>
        <v>0</v>
      </c>
      <c r="AK160" s="169">
        <f t="shared" si="49"/>
        <v>0</v>
      </c>
      <c r="AL160" s="169"/>
      <c r="AM160" s="169">
        <f>AK159*W159+AK160*W160</f>
        <v>0</v>
      </c>
      <c r="AN160" s="169">
        <f>(SUM(AD159:AG159)*W159+SUM(AD160:AG160)*W160)*12*VLOOKUP(C160,JNovergang,3,1)</f>
        <v>0</v>
      </c>
      <c r="AO160" s="169">
        <f>AM160-AN160</f>
        <v>0</v>
      </c>
      <c r="AP160" s="169">
        <f>M160*(100+X160)%</f>
        <v>0</v>
      </c>
      <c r="AQ160" s="274">
        <f>ROUND(M160*F160,2)</f>
        <v>0</v>
      </c>
      <c r="AS160" s="274">
        <f>ROUND((AP160+AQ160)+AM160*(N160/12),0)</f>
        <v>0</v>
      </c>
      <c r="AT160" s="274">
        <f>ROUND(AM160*(O160/12),0)</f>
        <v>0</v>
      </c>
      <c r="AU160" s="274">
        <f>ROUND(AM160*(P160/12)*U160,0)</f>
        <v>0</v>
      </c>
      <c r="AW160" s="144">
        <f t="shared" si="50"/>
        <v>0</v>
      </c>
    </row>
    <row r="161" spans="1:49" x14ac:dyDescent="0.15">
      <c r="A161" s="173"/>
      <c r="B161" s="174"/>
      <c r="C161" s="174"/>
      <c r="D161" s="165" t="str">
        <f t="shared" si="34"/>
        <v xml:space="preserve"> </v>
      </c>
      <c r="E161" s="177"/>
      <c r="F161" s="287">
        <v>0</v>
      </c>
      <c r="G161" s="177">
        <v>37</v>
      </c>
      <c r="H161" s="177">
        <v>37</v>
      </c>
      <c r="I161" s="177"/>
      <c r="J161" s="179"/>
      <c r="K161" s="177"/>
      <c r="L161" s="179"/>
      <c r="M161" s="166"/>
      <c r="N161" s="166"/>
      <c r="O161" s="166"/>
      <c r="P161" s="166"/>
      <c r="Q161" s="167"/>
      <c r="R161" s="167"/>
      <c r="S161" s="168"/>
      <c r="V161" s="144">
        <f t="shared" si="42"/>
        <v>0</v>
      </c>
      <c r="W161" s="144">
        <f t="shared" si="43"/>
        <v>0</v>
      </c>
      <c r="X161" s="144">
        <f t="shared" si="35"/>
        <v>0</v>
      </c>
      <c r="Y161" s="144">
        <f t="shared" si="44"/>
        <v>34.464599999999997</v>
      </c>
      <c r="Z161" s="169">
        <f t="shared" si="36"/>
        <v>0</v>
      </c>
      <c r="AA161" s="274">
        <f t="shared" si="37"/>
        <v>0</v>
      </c>
      <c r="AB161" s="169">
        <f t="shared" si="45"/>
        <v>0</v>
      </c>
      <c r="AC161" s="274">
        <f t="shared" si="38"/>
        <v>0</v>
      </c>
      <c r="AD161" s="169">
        <f t="shared" si="39"/>
        <v>0</v>
      </c>
      <c r="AE161" s="274">
        <f t="shared" si="40"/>
        <v>0</v>
      </c>
      <c r="AF161" s="169">
        <f t="shared" si="46"/>
        <v>0</v>
      </c>
      <c r="AG161" s="274">
        <f t="shared" si="41"/>
        <v>0</v>
      </c>
      <c r="AH161" s="169">
        <f t="shared" si="47"/>
        <v>0</v>
      </c>
      <c r="AI161" s="169"/>
      <c r="AJ161" s="169">
        <f t="shared" si="48"/>
        <v>0</v>
      </c>
      <c r="AK161" s="169">
        <f t="shared" si="49"/>
        <v>0</v>
      </c>
      <c r="AL161" s="169"/>
      <c r="AM161" s="169"/>
      <c r="AN161" s="169"/>
      <c r="AQ161" s="169"/>
      <c r="AW161" s="144">
        <f t="shared" si="50"/>
        <v>0</v>
      </c>
    </row>
    <row r="162" spans="1:49" ht="9.75" thickBot="1" x14ac:dyDescent="0.2">
      <c r="A162" s="175"/>
      <c r="B162" s="176"/>
      <c r="C162" s="176"/>
      <c r="D162" s="170" t="str">
        <f t="shared" si="34"/>
        <v xml:space="preserve"> </v>
      </c>
      <c r="E162" s="178"/>
      <c r="F162" s="288">
        <v>0</v>
      </c>
      <c r="G162" s="178">
        <v>37</v>
      </c>
      <c r="H162" s="178">
        <v>37</v>
      </c>
      <c r="I162" s="178"/>
      <c r="J162" s="180"/>
      <c r="K162" s="178"/>
      <c r="L162" s="180"/>
      <c r="M162" s="180"/>
      <c r="N162" s="178"/>
      <c r="O162" s="178"/>
      <c r="P162" s="178"/>
      <c r="Q162" s="171">
        <f>AS162</f>
        <v>0</v>
      </c>
      <c r="R162" s="171">
        <f>AT162</f>
        <v>0</v>
      </c>
      <c r="S162" s="172">
        <f>AU162</f>
        <v>0</v>
      </c>
      <c r="U162" s="144">
        <f>IF(OR(C161=5,C162=5),0,1)</f>
        <v>1</v>
      </c>
      <c r="V162" s="144">
        <f t="shared" si="42"/>
        <v>0</v>
      </c>
      <c r="W162" s="144">
        <f t="shared" si="43"/>
        <v>0</v>
      </c>
      <c r="X162" s="144">
        <f t="shared" si="35"/>
        <v>0</v>
      </c>
      <c r="Y162" s="144">
        <f t="shared" si="44"/>
        <v>34.464599999999997</v>
      </c>
      <c r="Z162" s="169">
        <f t="shared" si="36"/>
        <v>0</v>
      </c>
      <c r="AA162" s="274">
        <f t="shared" si="37"/>
        <v>0</v>
      </c>
      <c r="AB162" s="169">
        <f t="shared" si="45"/>
        <v>0</v>
      </c>
      <c r="AC162" s="274">
        <f t="shared" si="38"/>
        <v>0</v>
      </c>
      <c r="AD162" s="169">
        <f t="shared" si="39"/>
        <v>0</v>
      </c>
      <c r="AE162" s="274">
        <f t="shared" si="40"/>
        <v>0</v>
      </c>
      <c r="AF162" s="169">
        <f t="shared" si="46"/>
        <v>0</v>
      </c>
      <c r="AG162" s="274">
        <f t="shared" si="41"/>
        <v>0</v>
      </c>
      <c r="AH162" s="169">
        <f t="shared" si="47"/>
        <v>0</v>
      </c>
      <c r="AI162" s="169"/>
      <c r="AJ162" s="169">
        <f t="shared" si="48"/>
        <v>0</v>
      </c>
      <c r="AK162" s="169">
        <f t="shared" si="49"/>
        <v>0</v>
      </c>
      <c r="AL162" s="169"/>
      <c r="AM162" s="169">
        <f>AK161*W161+AK162*W162</f>
        <v>0</v>
      </c>
      <c r="AN162" s="169">
        <f>(SUM(AD161:AG161)*W161+SUM(AD162:AG162)*W162)*12*VLOOKUP(C162,JNovergang,3,1)</f>
        <v>0</v>
      </c>
      <c r="AO162" s="169">
        <f>AM162-AN162</f>
        <v>0</v>
      </c>
      <c r="AP162" s="169">
        <f>M162*(100+X162)%</f>
        <v>0</v>
      </c>
      <c r="AQ162" s="274">
        <f>ROUND(M162*F162,2)</f>
        <v>0</v>
      </c>
      <c r="AS162" s="274">
        <f>ROUND((AP162+AQ162)+AM162*(N162/12),0)</f>
        <v>0</v>
      </c>
      <c r="AT162" s="274">
        <f>ROUND(AM162*(O162/12),0)</f>
        <v>0</v>
      </c>
      <c r="AU162" s="274">
        <f>ROUND(AM162*(P162/12)*U162,0)</f>
        <v>0</v>
      </c>
      <c r="AW162" s="144">
        <f t="shared" si="50"/>
        <v>0</v>
      </c>
    </row>
    <row r="163" spans="1:49" x14ac:dyDescent="0.15">
      <c r="A163" s="173"/>
      <c r="B163" s="174"/>
      <c r="C163" s="174"/>
      <c r="D163" s="165" t="str">
        <f t="shared" si="34"/>
        <v xml:space="preserve"> </v>
      </c>
      <c r="E163" s="177"/>
      <c r="F163" s="287">
        <v>0</v>
      </c>
      <c r="G163" s="177">
        <v>37</v>
      </c>
      <c r="H163" s="177">
        <v>37</v>
      </c>
      <c r="I163" s="177"/>
      <c r="J163" s="179"/>
      <c r="K163" s="177"/>
      <c r="L163" s="179"/>
      <c r="M163" s="166"/>
      <c r="N163" s="166"/>
      <c r="O163" s="166"/>
      <c r="P163" s="166"/>
      <c r="Q163" s="167"/>
      <c r="R163" s="167"/>
      <c r="S163" s="168"/>
      <c r="V163" s="144">
        <f t="shared" si="42"/>
        <v>0</v>
      </c>
      <c r="W163" s="144">
        <f t="shared" si="43"/>
        <v>0</v>
      </c>
      <c r="X163" s="144">
        <f t="shared" si="35"/>
        <v>0</v>
      </c>
      <c r="Y163" s="144">
        <f t="shared" si="44"/>
        <v>34.464599999999997</v>
      </c>
      <c r="Z163" s="169">
        <f t="shared" si="36"/>
        <v>0</v>
      </c>
      <c r="AA163" s="274">
        <f t="shared" si="37"/>
        <v>0</v>
      </c>
      <c r="AB163" s="169">
        <f t="shared" si="45"/>
        <v>0</v>
      </c>
      <c r="AC163" s="274">
        <f t="shared" si="38"/>
        <v>0</v>
      </c>
      <c r="AD163" s="169">
        <f t="shared" si="39"/>
        <v>0</v>
      </c>
      <c r="AE163" s="274">
        <f t="shared" si="40"/>
        <v>0</v>
      </c>
      <c r="AF163" s="169">
        <f t="shared" si="46"/>
        <v>0</v>
      </c>
      <c r="AG163" s="274">
        <f t="shared" si="41"/>
        <v>0</v>
      </c>
      <c r="AH163" s="169">
        <f t="shared" si="47"/>
        <v>0</v>
      </c>
      <c r="AI163" s="169"/>
      <c r="AJ163" s="169">
        <f t="shared" si="48"/>
        <v>0</v>
      </c>
      <c r="AK163" s="169">
        <f t="shared" si="49"/>
        <v>0</v>
      </c>
      <c r="AL163" s="169"/>
      <c r="AM163" s="169"/>
      <c r="AN163" s="169"/>
      <c r="AQ163" s="169"/>
      <c r="AW163" s="144">
        <f t="shared" si="50"/>
        <v>0</v>
      </c>
    </row>
    <row r="164" spans="1:49" ht="9.75" thickBot="1" x14ac:dyDescent="0.2">
      <c r="A164" s="175"/>
      <c r="B164" s="176"/>
      <c r="C164" s="176"/>
      <c r="D164" s="170" t="str">
        <f t="shared" si="34"/>
        <v xml:space="preserve"> </v>
      </c>
      <c r="E164" s="178"/>
      <c r="F164" s="288">
        <v>0</v>
      </c>
      <c r="G164" s="178">
        <v>37</v>
      </c>
      <c r="H164" s="178">
        <v>37</v>
      </c>
      <c r="I164" s="178"/>
      <c r="J164" s="180"/>
      <c r="K164" s="178"/>
      <c r="L164" s="180"/>
      <c r="M164" s="180"/>
      <c r="N164" s="178"/>
      <c r="O164" s="178"/>
      <c r="P164" s="178"/>
      <c r="Q164" s="171">
        <f>AS164</f>
        <v>0</v>
      </c>
      <c r="R164" s="171">
        <f>AT164</f>
        <v>0</v>
      </c>
      <c r="S164" s="172">
        <f>AU164</f>
        <v>0</v>
      </c>
      <c r="U164" s="144">
        <f>IF(OR(C163=5,C164=5),0,1)</f>
        <v>1</v>
      </c>
      <c r="V164" s="144">
        <f t="shared" si="42"/>
        <v>0</v>
      </c>
      <c r="W164" s="144">
        <f t="shared" si="43"/>
        <v>0</v>
      </c>
      <c r="X164" s="144">
        <f t="shared" si="35"/>
        <v>0</v>
      </c>
      <c r="Y164" s="144">
        <f t="shared" si="44"/>
        <v>34.464599999999997</v>
      </c>
      <c r="Z164" s="169">
        <f t="shared" si="36"/>
        <v>0</v>
      </c>
      <c r="AA164" s="274">
        <f t="shared" si="37"/>
        <v>0</v>
      </c>
      <c r="AB164" s="169">
        <f t="shared" si="45"/>
        <v>0</v>
      </c>
      <c r="AC164" s="274">
        <f t="shared" si="38"/>
        <v>0</v>
      </c>
      <c r="AD164" s="169">
        <f t="shared" si="39"/>
        <v>0</v>
      </c>
      <c r="AE164" s="274">
        <f t="shared" si="40"/>
        <v>0</v>
      </c>
      <c r="AF164" s="169">
        <f t="shared" si="46"/>
        <v>0</v>
      </c>
      <c r="AG164" s="274">
        <f t="shared" si="41"/>
        <v>0</v>
      </c>
      <c r="AH164" s="169">
        <f t="shared" si="47"/>
        <v>0</v>
      </c>
      <c r="AI164" s="169"/>
      <c r="AJ164" s="169">
        <f t="shared" si="48"/>
        <v>0</v>
      </c>
      <c r="AK164" s="169">
        <f t="shared" si="49"/>
        <v>0</v>
      </c>
      <c r="AL164" s="169"/>
      <c r="AM164" s="169">
        <f>AK163*W163+AK164*W164</f>
        <v>0</v>
      </c>
      <c r="AN164" s="169">
        <f>(SUM(AD163:AG163)*W163+SUM(AD164:AG164)*W164)*12*VLOOKUP(C164,JNovergang,3,1)</f>
        <v>0</v>
      </c>
      <c r="AO164" s="169">
        <f>AM164-AN164</f>
        <v>0</v>
      </c>
      <c r="AP164" s="169">
        <f>M164*(100+X164)%</f>
        <v>0</v>
      </c>
      <c r="AQ164" s="274">
        <f>ROUND(M164*F164,2)</f>
        <v>0</v>
      </c>
      <c r="AS164" s="274">
        <f>ROUND((AP164+AQ164)+AM164*(N164/12),0)</f>
        <v>0</v>
      </c>
      <c r="AT164" s="274">
        <f>ROUND(AM164*(O164/12),0)</f>
        <v>0</v>
      </c>
      <c r="AU164" s="274">
        <f>ROUND(AM164*(P164/12)*U164,0)</f>
        <v>0</v>
      </c>
      <c r="AW164" s="144">
        <f t="shared" si="50"/>
        <v>0</v>
      </c>
    </row>
    <row r="165" spans="1:49" x14ac:dyDescent="0.15">
      <c r="A165" s="173"/>
      <c r="B165" s="174"/>
      <c r="C165" s="174"/>
      <c r="D165" s="165" t="str">
        <f t="shared" si="34"/>
        <v xml:space="preserve"> </v>
      </c>
      <c r="E165" s="177"/>
      <c r="F165" s="287">
        <v>0</v>
      </c>
      <c r="G165" s="177">
        <v>37</v>
      </c>
      <c r="H165" s="177">
        <v>37</v>
      </c>
      <c r="I165" s="177"/>
      <c r="J165" s="179"/>
      <c r="K165" s="177"/>
      <c r="L165" s="179"/>
      <c r="M165" s="166"/>
      <c r="N165" s="166"/>
      <c r="O165" s="166"/>
      <c r="P165" s="166"/>
      <c r="Q165" s="167"/>
      <c r="R165" s="167"/>
      <c r="S165" s="168"/>
      <c r="V165" s="144">
        <f t="shared" si="42"/>
        <v>0</v>
      </c>
      <c r="W165" s="144">
        <f t="shared" si="43"/>
        <v>0</v>
      </c>
      <c r="X165" s="144">
        <f t="shared" si="35"/>
        <v>0</v>
      </c>
      <c r="Y165" s="144">
        <f t="shared" si="44"/>
        <v>34.464599999999997</v>
      </c>
      <c r="Z165" s="169">
        <f t="shared" si="36"/>
        <v>0</v>
      </c>
      <c r="AA165" s="274">
        <f t="shared" si="37"/>
        <v>0</v>
      </c>
      <c r="AB165" s="169">
        <f t="shared" si="45"/>
        <v>0</v>
      </c>
      <c r="AC165" s="274">
        <f t="shared" si="38"/>
        <v>0</v>
      </c>
      <c r="AD165" s="169">
        <f t="shared" si="39"/>
        <v>0</v>
      </c>
      <c r="AE165" s="274">
        <f t="shared" si="40"/>
        <v>0</v>
      </c>
      <c r="AF165" s="169">
        <f t="shared" si="46"/>
        <v>0</v>
      </c>
      <c r="AG165" s="274">
        <f t="shared" si="41"/>
        <v>0</v>
      </c>
      <c r="AH165" s="169">
        <f t="shared" si="47"/>
        <v>0</v>
      </c>
      <c r="AI165" s="169"/>
      <c r="AJ165" s="169">
        <f t="shared" si="48"/>
        <v>0</v>
      </c>
      <c r="AK165" s="169">
        <f t="shared" si="49"/>
        <v>0</v>
      </c>
      <c r="AL165" s="169"/>
      <c r="AM165" s="169"/>
      <c r="AN165" s="169"/>
      <c r="AQ165" s="169"/>
      <c r="AW165" s="144">
        <f t="shared" si="50"/>
        <v>0</v>
      </c>
    </row>
    <row r="166" spans="1:49" ht="9.75" thickBot="1" x14ac:dyDescent="0.2">
      <c r="A166" s="175"/>
      <c r="B166" s="176"/>
      <c r="C166" s="176"/>
      <c r="D166" s="170" t="str">
        <f t="shared" si="34"/>
        <v xml:space="preserve"> </v>
      </c>
      <c r="E166" s="178"/>
      <c r="F166" s="288">
        <v>0</v>
      </c>
      <c r="G166" s="178">
        <v>37</v>
      </c>
      <c r="H166" s="178">
        <v>37</v>
      </c>
      <c r="I166" s="178"/>
      <c r="J166" s="180"/>
      <c r="K166" s="178"/>
      <c r="L166" s="180"/>
      <c r="M166" s="180"/>
      <c r="N166" s="178"/>
      <c r="O166" s="178"/>
      <c r="P166" s="178"/>
      <c r="Q166" s="171">
        <f>AS166</f>
        <v>0</v>
      </c>
      <c r="R166" s="171">
        <f>AT166</f>
        <v>0</v>
      </c>
      <c r="S166" s="172">
        <f>AU166</f>
        <v>0</v>
      </c>
      <c r="U166" s="144">
        <f>IF(OR(C165=5,C166=5),0,1)</f>
        <v>1</v>
      </c>
      <c r="V166" s="144">
        <f t="shared" si="42"/>
        <v>0</v>
      </c>
      <c r="W166" s="144">
        <f t="shared" si="43"/>
        <v>0</v>
      </c>
      <c r="X166" s="144">
        <f t="shared" si="35"/>
        <v>0</v>
      </c>
      <c r="Y166" s="144">
        <f t="shared" si="44"/>
        <v>34.464599999999997</v>
      </c>
      <c r="Z166" s="169">
        <f t="shared" si="36"/>
        <v>0</v>
      </c>
      <c r="AA166" s="274">
        <f t="shared" si="37"/>
        <v>0</v>
      </c>
      <c r="AB166" s="169">
        <f t="shared" si="45"/>
        <v>0</v>
      </c>
      <c r="AC166" s="274">
        <f t="shared" si="38"/>
        <v>0</v>
      </c>
      <c r="AD166" s="169">
        <f t="shared" si="39"/>
        <v>0</v>
      </c>
      <c r="AE166" s="274">
        <f t="shared" si="40"/>
        <v>0</v>
      </c>
      <c r="AF166" s="169">
        <f t="shared" si="46"/>
        <v>0</v>
      </c>
      <c r="AG166" s="274">
        <f t="shared" si="41"/>
        <v>0</v>
      </c>
      <c r="AH166" s="169">
        <f t="shared" si="47"/>
        <v>0</v>
      </c>
      <c r="AI166" s="169"/>
      <c r="AJ166" s="169">
        <f t="shared" si="48"/>
        <v>0</v>
      </c>
      <c r="AK166" s="169">
        <f t="shared" si="49"/>
        <v>0</v>
      </c>
      <c r="AL166" s="169"/>
      <c r="AM166" s="169">
        <f>AK165*W165+AK166*W166</f>
        <v>0</v>
      </c>
      <c r="AN166" s="169">
        <f>(SUM(AD165:AG165)*W165+SUM(AD166:AG166)*W166)*12*VLOOKUP(C166,JNovergang,3,1)</f>
        <v>0</v>
      </c>
      <c r="AO166" s="169">
        <f>AM166-AN166</f>
        <v>0</v>
      </c>
      <c r="AP166" s="169">
        <f>M166*(100+X166)%</f>
        <v>0</v>
      </c>
      <c r="AQ166" s="274">
        <f>ROUND(M166*F166,2)</f>
        <v>0</v>
      </c>
      <c r="AS166" s="274">
        <f>ROUND((AP166+AQ166)+AM166*(N166/12),0)</f>
        <v>0</v>
      </c>
      <c r="AT166" s="274">
        <f>ROUND(AM166*(O166/12),0)</f>
        <v>0</v>
      </c>
      <c r="AU166" s="274">
        <f>ROUND(AM166*(P166/12)*U166,0)</f>
        <v>0</v>
      </c>
      <c r="AW166" s="144">
        <f t="shared" si="50"/>
        <v>0</v>
      </c>
    </row>
    <row r="167" spans="1:49" x14ac:dyDescent="0.15">
      <c r="A167" s="173"/>
      <c r="B167" s="174"/>
      <c r="C167" s="174"/>
      <c r="D167" s="165" t="str">
        <f t="shared" si="34"/>
        <v xml:space="preserve"> </v>
      </c>
      <c r="E167" s="177"/>
      <c r="F167" s="287">
        <v>0</v>
      </c>
      <c r="G167" s="177">
        <v>37</v>
      </c>
      <c r="H167" s="177">
        <v>37</v>
      </c>
      <c r="I167" s="177"/>
      <c r="J167" s="179"/>
      <c r="K167" s="177"/>
      <c r="L167" s="179"/>
      <c r="M167" s="166"/>
      <c r="N167" s="166"/>
      <c r="O167" s="166"/>
      <c r="P167" s="166"/>
      <c r="Q167" s="167"/>
      <c r="R167" s="167"/>
      <c r="S167" s="168"/>
      <c r="V167" s="144">
        <f t="shared" si="42"/>
        <v>0</v>
      </c>
      <c r="W167" s="144">
        <f t="shared" si="43"/>
        <v>0</v>
      </c>
      <c r="X167" s="144">
        <f t="shared" si="35"/>
        <v>0</v>
      </c>
      <c r="Y167" s="144">
        <f t="shared" si="44"/>
        <v>34.464599999999997</v>
      </c>
      <c r="Z167" s="169">
        <f t="shared" si="36"/>
        <v>0</v>
      </c>
      <c r="AA167" s="274">
        <f t="shared" si="37"/>
        <v>0</v>
      </c>
      <c r="AB167" s="169">
        <f t="shared" si="45"/>
        <v>0</v>
      </c>
      <c r="AC167" s="274">
        <f t="shared" si="38"/>
        <v>0</v>
      </c>
      <c r="AD167" s="169">
        <f t="shared" si="39"/>
        <v>0</v>
      </c>
      <c r="AE167" s="274">
        <f t="shared" si="40"/>
        <v>0</v>
      </c>
      <c r="AF167" s="169">
        <f t="shared" si="46"/>
        <v>0</v>
      </c>
      <c r="AG167" s="274">
        <f t="shared" si="41"/>
        <v>0</v>
      </c>
      <c r="AH167" s="169">
        <f t="shared" si="47"/>
        <v>0</v>
      </c>
      <c r="AI167" s="169"/>
      <c r="AJ167" s="169">
        <f t="shared" si="48"/>
        <v>0</v>
      </c>
      <c r="AK167" s="169">
        <f t="shared" si="49"/>
        <v>0</v>
      </c>
      <c r="AL167" s="169"/>
      <c r="AM167" s="169"/>
      <c r="AN167" s="169"/>
      <c r="AQ167" s="169"/>
      <c r="AW167" s="144">
        <f t="shared" si="50"/>
        <v>0</v>
      </c>
    </row>
    <row r="168" spans="1:49" ht="9.75" thickBot="1" x14ac:dyDescent="0.2">
      <c r="A168" s="175"/>
      <c r="B168" s="176"/>
      <c r="C168" s="176"/>
      <c r="D168" s="170" t="str">
        <f t="shared" si="34"/>
        <v xml:space="preserve"> </v>
      </c>
      <c r="E168" s="178"/>
      <c r="F168" s="288">
        <v>0</v>
      </c>
      <c r="G168" s="178">
        <v>37</v>
      </c>
      <c r="H168" s="178">
        <v>37</v>
      </c>
      <c r="I168" s="178"/>
      <c r="J168" s="180"/>
      <c r="K168" s="178"/>
      <c r="L168" s="180"/>
      <c r="M168" s="180"/>
      <c r="N168" s="178"/>
      <c r="O168" s="178"/>
      <c r="P168" s="178"/>
      <c r="Q168" s="171">
        <f>AS168</f>
        <v>0</v>
      </c>
      <c r="R168" s="171">
        <f>AT168</f>
        <v>0</v>
      </c>
      <c r="S168" s="172">
        <f>AU168</f>
        <v>0</v>
      </c>
      <c r="U168" s="144">
        <f>IF(OR(C167=5,C168=5),0,1)</f>
        <v>1</v>
      </c>
      <c r="V168" s="144">
        <f t="shared" si="42"/>
        <v>0</v>
      </c>
      <c r="W168" s="144">
        <f t="shared" si="43"/>
        <v>0</v>
      </c>
      <c r="X168" s="144">
        <f t="shared" si="35"/>
        <v>0</v>
      </c>
      <c r="Y168" s="144">
        <f t="shared" si="44"/>
        <v>34.464599999999997</v>
      </c>
      <c r="Z168" s="169">
        <f t="shared" si="36"/>
        <v>0</v>
      </c>
      <c r="AA168" s="274">
        <f t="shared" si="37"/>
        <v>0</v>
      </c>
      <c r="AB168" s="169">
        <f t="shared" si="45"/>
        <v>0</v>
      </c>
      <c r="AC168" s="274">
        <f t="shared" si="38"/>
        <v>0</v>
      </c>
      <c r="AD168" s="169">
        <f t="shared" si="39"/>
        <v>0</v>
      </c>
      <c r="AE168" s="274">
        <f t="shared" si="40"/>
        <v>0</v>
      </c>
      <c r="AF168" s="169">
        <f t="shared" si="46"/>
        <v>0</v>
      </c>
      <c r="AG168" s="274">
        <f t="shared" si="41"/>
        <v>0</v>
      </c>
      <c r="AH168" s="169">
        <f t="shared" si="47"/>
        <v>0</v>
      </c>
      <c r="AI168" s="169"/>
      <c r="AJ168" s="169">
        <f t="shared" si="48"/>
        <v>0</v>
      </c>
      <c r="AK168" s="169">
        <f t="shared" si="49"/>
        <v>0</v>
      </c>
      <c r="AL168" s="169"/>
      <c r="AM168" s="169">
        <f>AK167*W167+AK168*W168</f>
        <v>0</v>
      </c>
      <c r="AN168" s="169">
        <f>(SUM(AD167:AG167)*W167+SUM(AD168:AG168)*W168)*12*VLOOKUP(C168,JNovergang,3,1)</f>
        <v>0</v>
      </c>
      <c r="AO168" s="169">
        <f>AM168-AN168</f>
        <v>0</v>
      </c>
      <c r="AP168" s="169">
        <f>M168*(100+X168)%</f>
        <v>0</v>
      </c>
      <c r="AQ168" s="274">
        <f>ROUND(M168*F168,2)</f>
        <v>0</v>
      </c>
      <c r="AS168" s="274">
        <f>ROUND((AP168+AQ168)+AM168*(N168/12),0)</f>
        <v>0</v>
      </c>
      <c r="AT168" s="274">
        <f>ROUND(AM168*(O168/12),0)</f>
        <v>0</v>
      </c>
      <c r="AU168" s="274">
        <f>ROUND(AM168*(P168/12)*U168,0)</f>
        <v>0</v>
      </c>
      <c r="AW168" s="144">
        <f t="shared" si="50"/>
        <v>0</v>
      </c>
    </row>
    <row r="169" spans="1:49" x14ac:dyDescent="0.15">
      <c r="A169" s="173"/>
      <c r="B169" s="174"/>
      <c r="C169" s="174"/>
      <c r="D169" s="165" t="str">
        <f t="shared" si="34"/>
        <v xml:space="preserve"> </v>
      </c>
      <c r="E169" s="177"/>
      <c r="F169" s="287">
        <v>0</v>
      </c>
      <c r="G169" s="177">
        <v>37</v>
      </c>
      <c r="H169" s="177">
        <v>37</v>
      </c>
      <c r="I169" s="177"/>
      <c r="J169" s="179"/>
      <c r="K169" s="177"/>
      <c r="L169" s="179"/>
      <c r="M169" s="166"/>
      <c r="N169" s="166"/>
      <c r="O169" s="166"/>
      <c r="P169" s="166"/>
      <c r="Q169" s="167"/>
      <c r="R169" s="167"/>
      <c r="S169" s="168"/>
      <c r="V169" s="144">
        <f t="shared" si="42"/>
        <v>0</v>
      </c>
      <c r="W169" s="144">
        <f t="shared" si="43"/>
        <v>0</v>
      </c>
      <c r="X169" s="144">
        <f t="shared" si="35"/>
        <v>0</v>
      </c>
      <c r="Y169" s="144">
        <f t="shared" si="44"/>
        <v>34.464599999999997</v>
      </c>
      <c r="Z169" s="169">
        <f t="shared" si="36"/>
        <v>0</v>
      </c>
      <c r="AA169" s="274">
        <f t="shared" si="37"/>
        <v>0</v>
      </c>
      <c r="AB169" s="169">
        <f t="shared" si="45"/>
        <v>0</v>
      </c>
      <c r="AC169" s="274">
        <f t="shared" si="38"/>
        <v>0</v>
      </c>
      <c r="AD169" s="169">
        <f t="shared" si="39"/>
        <v>0</v>
      </c>
      <c r="AE169" s="274">
        <f t="shared" si="40"/>
        <v>0</v>
      </c>
      <c r="AF169" s="169">
        <f t="shared" si="46"/>
        <v>0</v>
      </c>
      <c r="AG169" s="274">
        <f t="shared" si="41"/>
        <v>0</v>
      </c>
      <c r="AH169" s="169">
        <f t="shared" si="47"/>
        <v>0</v>
      </c>
      <c r="AI169" s="169"/>
      <c r="AJ169" s="169">
        <f t="shared" si="48"/>
        <v>0</v>
      </c>
      <c r="AK169" s="169">
        <f t="shared" si="49"/>
        <v>0</v>
      </c>
      <c r="AL169" s="169"/>
      <c r="AM169" s="169"/>
      <c r="AN169" s="169"/>
      <c r="AQ169" s="169"/>
      <c r="AW169" s="144">
        <f t="shared" si="50"/>
        <v>0</v>
      </c>
    </row>
    <row r="170" spans="1:49" ht="9.75" thickBot="1" x14ac:dyDescent="0.2">
      <c r="A170" s="175"/>
      <c r="B170" s="176"/>
      <c r="C170" s="176"/>
      <c r="D170" s="170" t="str">
        <f t="shared" si="34"/>
        <v xml:space="preserve"> </v>
      </c>
      <c r="E170" s="178"/>
      <c r="F170" s="288">
        <v>0</v>
      </c>
      <c r="G170" s="178">
        <v>37</v>
      </c>
      <c r="H170" s="178">
        <v>37</v>
      </c>
      <c r="I170" s="178"/>
      <c r="J170" s="180"/>
      <c r="K170" s="178"/>
      <c r="L170" s="180"/>
      <c r="M170" s="180"/>
      <c r="N170" s="178"/>
      <c r="O170" s="178"/>
      <c r="P170" s="178"/>
      <c r="Q170" s="171">
        <f>AS170</f>
        <v>0</v>
      </c>
      <c r="R170" s="171">
        <f>AT170</f>
        <v>0</v>
      </c>
      <c r="S170" s="172">
        <f>AU170</f>
        <v>0</v>
      </c>
      <c r="U170" s="144">
        <f>IF(OR(C169=5,C170=5),0,1)</f>
        <v>1</v>
      </c>
      <c r="V170" s="144">
        <f t="shared" si="42"/>
        <v>0</v>
      </c>
      <c r="W170" s="144">
        <f t="shared" si="43"/>
        <v>0</v>
      </c>
      <c r="X170" s="144">
        <f t="shared" si="35"/>
        <v>0</v>
      </c>
      <c r="Y170" s="144">
        <f t="shared" si="44"/>
        <v>34.464599999999997</v>
      </c>
      <c r="Z170" s="169">
        <f t="shared" si="36"/>
        <v>0</v>
      </c>
      <c r="AA170" s="274">
        <f t="shared" si="37"/>
        <v>0</v>
      </c>
      <c r="AB170" s="169">
        <f t="shared" si="45"/>
        <v>0</v>
      </c>
      <c r="AC170" s="274">
        <f t="shared" si="38"/>
        <v>0</v>
      </c>
      <c r="AD170" s="169">
        <f t="shared" si="39"/>
        <v>0</v>
      </c>
      <c r="AE170" s="274">
        <f t="shared" si="40"/>
        <v>0</v>
      </c>
      <c r="AF170" s="169">
        <f t="shared" si="46"/>
        <v>0</v>
      </c>
      <c r="AG170" s="274">
        <f t="shared" si="41"/>
        <v>0</v>
      </c>
      <c r="AH170" s="169">
        <f t="shared" si="47"/>
        <v>0</v>
      </c>
      <c r="AI170" s="169"/>
      <c r="AJ170" s="169">
        <f t="shared" si="48"/>
        <v>0</v>
      </c>
      <c r="AK170" s="169">
        <f t="shared" si="49"/>
        <v>0</v>
      </c>
      <c r="AL170" s="169"/>
      <c r="AM170" s="169">
        <f>AK169*W169+AK170*W170</f>
        <v>0</v>
      </c>
      <c r="AN170" s="169">
        <f>(SUM(AD169:AG169)*W169+SUM(AD170:AG170)*W170)*12*VLOOKUP(C170,JNovergang,3,1)</f>
        <v>0</v>
      </c>
      <c r="AO170" s="169">
        <f>AM170-AN170</f>
        <v>0</v>
      </c>
      <c r="AP170" s="169">
        <f>M170*(100+X170)%</f>
        <v>0</v>
      </c>
      <c r="AQ170" s="274">
        <f>ROUND(M170*F170,2)</f>
        <v>0</v>
      </c>
      <c r="AS170" s="274">
        <f>ROUND((AP170+AQ170)+AM170*(N170/12),0)</f>
        <v>0</v>
      </c>
      <c r="AT170" s="274">
        <f>ROUND(AM170*(O170/12),0)</f>
        <v>0</v>
      </c>
      <c r="AU170" s="274">
        <f>ROUND(AM170*(P170/12)*U170,0)</f>
        <v>0</v>
      </c>
      <c r="AW170" s="144">
        <f t="shared" si="50"/>
        <v>0</v>
      </c>
    </row>
    <row r="171" spans="1:49" x14ac:dyDescent="0.15">
      <c r="A171" s="173"/>
      <c r="B171" s="174"/>
      <c r="C171" s="174"/>
      <c r="D171" s="165" t="str">
        <f t="shared" si="34"/>
        <v xml:space="preserve"> </v>
      </c>
      <c r="E171" s="177"/>
      <c r="F171" s="287">
        <v>0</v>
      </c>
      <c r="G171" s="177">
        <v>37</v>
      </c>
      <c r="H171" s="177">
        <v>37</v>
      </c>
      <c r="I171" s="177"/>
      <c r="J171" s="179"/>
      <c r="K171" s="177"/>
      <c r="L171" s="179"/>
      <c r="M171" s="166"/>
      <c r="N171" s="166"/>
      <c r="O171" s="166"/>
      <c r="P171" s="166"/>
      <c r="Q171" s="167"/>
      <c r="R171" s="167"/>
      <c r="S171" s="168"/>
      <c r="V171" s="144">
        <f t="shared" si="42"/>
        <v>0</v>
      </c>
      <c r="W171" s="144">
        <f t="shared" si="43"/>
        <v>0</v>
      </c>
      <c r="X171" s="144">
        <f t="shared" si="35"/>
        <v>0</v>
      </c>
      <c r="Y171" s="144">
        <f t="shared" si="44"/>
        <v>34.464599999999997</v>
      </c>
      <c r="Z171" s="169">
        <f t="shared" si="36"/>
        <v>0</v>
      </c>
      <c r="AA171" s="274">
        <f t="shared" si="37"/>
        <v>0</v>
      </c>
      <c r="AB171" s="169">
        <f t="shared" si="45"/>
        <v>0</v>
      </c>
      <c r="AC171" s="274">
        <f t="shared" si="38"/>
        <v>0</v>
      </c>
      <c r="AD171" s="169">
        <f t="shared" si="39"/>
        <v>0</v>
      </c>
      <c r="AE171" s="274">
        <f t="shared" si="40"/>
        <v>0</v>
      </c>
      <c r="AF171" s="169">
        <f t="shared" si="46"/>
        <v>0</v>
      </c>
      <c r="AG171" s="274">
        <f t="shared" si="41"/>
        <v>0</v>
      </c>
      <c r="AH171" s="169">
        <f t="shared" si="47"/>
        <v>0</v>
      </c>
      <c r="AI171" s="169"/>
      <c r="AJ171" s="169">
        <f t="shared" si="48"/>
        <v>0</v>
      </c>
      <c r="AK171" s="169">
        <f t="shared" si="49"/>
        <v>0</v>
      </c>
      <c r="AL171" s="169"/>
      <c r="AM171" s="169"/>
      <c r="AN171" s="169"/>
      <c r="AQ171" s="169"/>
      <c r="AW171" s="144">
        <f t="shared" si="50"/>
        <v>0</v>
      </c>
    </row>
    <row r="172" spans="1:49" ht="9.75" thickBot="1" x14ac:dyDescent="0.2">
      <c r="A172" s="175"/>
      <c r="B172" s="176"/>
      <c r="C172" s="176"/>
      <c r="D172" s="170" t="str">
        <f>VLOOKUP(C172,Tabelændringskode,2,1)</f>
        <v xml:space="preserve"> </v>
      </c>
      <c r="E172" s="178"/>
      <c r="F172" s="288">
        <v>0</v>
      </c>
      <c r="G172" s="178">
        <v>37</v>
      </c>
      <c r="H172" s="178">
        <v>37</v>
      </c>
      <c r="I172" s="178"/>
      <c r="J172" s="180"/>
      <c r="K172" s="178"/>
      <c r="L172" s="180"/>
      <c r="M172" s="180"/>
      <c r="N172" s="178"/>
      <c r="O172" s="178"/>
      <c r="P172" s="178"/>
      <c r="Q172" s="171">
        <f>AS172</f>
        <v>0</v>
      </c>
      <c r="R172" s="171">
        <f>AT172</f>
        <v>0</v>
      </c>
      <c r="S172" s="172">
        <f>AU172</f>
        <v>0</v>
      </c>
      <c r="U172" s="144">
        <f>IF(OR(C171=5,C172=5),0,1)</f>
        <v>1</v>
      </c>
      <c r="V172" s="144">
        <f t="shared" si="42"/>
        <v>0</v>
      </c>
      <c r="W172" s="144">
        <f t="shared" si="43"/>
        <v>0</v>
      </c>
      <c r="X172" s="144">
        <f t="shared" si="35"/>
        <v>0</v>
      </c>
      <c r="Y172" s="144">
        <f t="shared" si="44"/>
        <v>34.464599999999997</v>
      </c>
      <c r="Z172" s="169">
        <f t="shared" si="36"/>
        <v>0</v>
      </c>
      <c r="AA172" s="274">
        <f t="shared" si="37"/>
        <v>0</v>
      </c>
      <c r="AB172" s="169">
        <f t="shared" si="45"/>
        <v>0</v>
      </c>
      <c r="AC172" s="274">
        <f t="shared" si="38"/>
        <v>0</v>
      </c>
      <c r="AD172" s="169">
        <f t="shared" si="39"/>
        <v>0</v>
      </c>
      <c r="AE172" s="274">
        <f t="shared" si="40"/>
        <v>0</v>
      </c>
      <c r="AF172" s="169">
        <f t="shared" si="46"/>
        <v>0</v>
      </c>
      <c r="AG172" s="274">
        <f t="shared" si="41"/>
        <v>0</v>
      </c>
      <c r="AH172" s="169">
        <f t="shared" si="47"/>
        <v>0</v>
      </c>
      <c r="AI172" s="169"/>
      <c r="AJ172" s="169">
        <f t="shared" si="48"/>
        <v>0</v>
      </c>
      <c r="AK172" s="169">
        <f t="shared" si="49"/>
        <v>0</v>
      </c>
      <c r="AL172" s="169"/>
      <c r="AM172" s="169">
        <f>AK171*W171+AK172*W172</f>
        <v>0</v>
      </c>
      <c r="AN172" s="169">
        <f>(SUM(AD171:AG171)*W171+SUM(AD172:AG172)*W172)*12*VLOOKUP(C172,JNovergang,3,1)</f>
        <v>0</v>
      </c>
      <c r="AO172" s="169">
        <f>AM172-AN172</f>
        <v>0</v>
      </c>
      <c r="AP172" s="169">
        <f>M172*(100+X172)%</f>
        <v>0</v>
      </c>
      <c r="AQ172" s="274">
        <f>ROUND(M172*F172,2)</f>
        <v>0</v>
      </c>
      <c r="AS172" s="274">
        <f>ROUND((AP172+AQ172)+AM172*(N172/12),0)</f>
        <v>0</v>
      </c>
      <c r="AT172" s="274">
        <f>ROUND(AM172*(O172/12),0)</f>
        <v>0</v>
      </c>
      <c r="AU172" s="274">
        <f>ROUND(AM172*(P172/12)*U172,0)</f>
        <v>0</v>
      </c>
      <c r="AW172" s="144">
        <f t="shared" si="50"/>
        <v>0</v>
      </c>
    </row>
    <row r="173" spans="1:49" x14ac:dyDescent="0.15">
      <c r="A173" s="173"/>
      <c r="B173" s="174"/>
      <c r="C173" s="174"/>
      <c r="D173" s="165" t="str">
        <f t="shared" si="34"/>
        <v xml:space="preserve"> </v>
      </c>
      <c r="E173" s="177"/>
      <c r="F173" s="287">
        <v>0</v>
      </c>
      <c r="G173" s="177">
        <v>37</v>
      </c>
      <c r="H173" s="177">
        <v>37</v>
      </c>
      <c r="I173" s="177"/>
      <c r="J173" s="179"/>
      <c r="K173" s="177"/>
      <c r="L173" s="179"/>
      <c r="M173" s="166"/>
      <c r="N173" s="166"/>
      <c r="O173" s="166"/>
      <c r="P173" s="166"/>
      <c r="Q173" s="167"/>
      <c r="R173" s="167"/>
      <c r="S173" s="168"/>
      <c r="V173" s="144">
        <f t="shared" si="42"/>
        <v>0</v>
      </c>
      <c r="W173" s="144">
        <f t="shared" si="43"/>
        <v>0</v>
      </c>
      <c r="X173" s="144">
        <f t="shared" si="35"/>
        <v>0</v>
      </c>
      <c r="Y173" s="144">
        <f t="shared" si="44"/>
        <v>34.464599999999997</v>
      </c>
      <c r="Z173" s="169">
        <f t="shared" si="36"/>
        <v>0</v>
      </c>
      <c r="AA173" s="274">
        <f t="shared" si="37"/>
        <v>0</v>
      </c>
      <c r="AB173" s="169">
        <f t="shared" si="45"/>
        <v>0</v>
      </c>
      <c r="AC173" s="274">
        <f t="shared" si="38"/>
        <v>0</v>
      </c>
      <c r="AD173" s="169">
        <f t="shared" si="39"/>
        <v>0</v>
      </c>
      <c r="AE173" s="274">
        <f t="shared" si="40"/>
        <v>0</v>
      </c>
      <c r="AF173" s="169">
        <f t="shared" si="46"/>
        <v>0</v>
      </c>
      <c r="AG173" s="274">
        <f t="shared" si="41"/>
        <v>0</v>
      </c>
      <c r="AH173" s="169">
        <f t="shared" si="47"/>
        <v>0</v>
      </c>
      <c r="AI173" s="169"/>
      <c r="AJ173" s="169">
        <f t="shared" si="48"/>
        <v>0</v>
      </c>
      <c r="AK173" s="169">
        <f t="shared" si="49"/>
        <v>0</v>
      </c>
      <c r="AL173" s="169"/>
      <c r="AM173" s="169"/>
      <c r="AN173" s="169"/>
      <c r="AQ173" s="169"/>
      <c r="AW173" s="144">
        <f t="shared" si="50"/>
        <v>0</v>
      </c>
    </row>
    <row r="174" spans="1:49" ht="9.75" thickBot="1" x14ac:dyDescent="0.2">
      <c r="A174" s="175"/>
      <c r="B174" s="176"/>
      <c r="C174" s="176"/>
      <c r="D174" s="170" t="str">
        <f>VLOOKUP(C174,Tabelændringskode,2,1)</f>
        <v xml:space="preserve"> </v>
      </c>
      <c r="E174" s="178"/>
      <c r="F174" s="288">
        <v>0</v>
      </c>
      <c r="G174" s="178">
        <v>37</v>
      </c>
      <c r="H174" s="178">
        <v>37</v>
      </c>
      <c r="I174" s="178"/>
      <c r="J174" s="180"/>
      <c r="K174" s="178"/>
      <c r="L174" s="180"/>
      <c r="M174" s="180"/>
      <c r="N174" s="178"/>
      <c r="O174" s="178"/>
      <c r="P174" s="178"/>
      <c r="Q174" s="171">
        <f>AS174</f>
        <v>0</v>
      </c>
      <c r="R174" s="171">
        <f>AT174</f>
        <v>0</v>
      </c>
      <c r="S174" s="172">
        <f>AU174</f>
        <v>0</v>
      </c>
      <c r="U174" s="144">
        <f>IF(OR(C173=5,C174=5),0,1)</f>
        <v>1</v>
      </c>
      <c r="V174" s="144">
        <f t="shared" si="42"/>
        <v>0</v>
      </c>
      <c r="W174" s="144">
        <f t="shared" si="43"/>
        <v>0</v>
      </c>
      <c r="X174" s="144">
        <f t="shared" si="35"/>
        <v>0</v>
      </c>
      <c r="Y174" s="144">
        <f t="shared" si="44"/>
        <v>34.464599999999997</v>
      </c>
      <c r="Z174" s="169">
        <f t="shared" si="36"/>
        <v>0</v>
      </c>
      <c r="AA174" s="274">
        <f t="shared" si="37"/>
        <v>0</v>
      </c>
      <c r="AB174" s="169">
        <f t="shared" si="45"/>
        <v>0</v>
      </c>
      <c r="AC174" s="274">
        <f t="shared" si="38"/>
        <v>0</v>
      </c>
      <c r="AD174" s="169">
        <f t="shared" si="39"/>
        <v>0</v>
      </c>
      <c r="AE174" s="274">
        <f t="shared" si="40"/>
        <v>0</v>
      </c>
      <c r="AF174" s="169">
        <f t="shared" si="46"/>
        <v>0</v>
      </c>
      <c r="AG174" s="274">
        <f t="shared" si="41"/>
        <v>0</v>
      </c>
      <c r="AH174" s="169">
        <f t="shared" si="47"/>
        <v>0</v>
      </c>
      <c r="AI174" s="169"/>
      <c r="AJ174" s="169">
        <f t="shared" si="48"/>
        <v>0</v>
      </c>
      <c r="AK174" s="169">
        <f t="shared" si="49"/>
        <v>0</v>
      </c>
      <c r="AL174" s="169"/>
      <c r="AM174" s="169">
        <f>AK173*W173+AK174*W174</f>
        <v>0</v>
      </c>
      <c r="AN174" s="169">
        <f>(SUM(AD173:AG173)*W173+SUM(AD174:AG174)*W174)*12*VLOOKUP(C174,JNovergang,3,1)</f>
        <v>0</v>
      </c>
      <c r="AO174" s="169">
        <f>AM174-AN174</f>
        <v>0</v>
      </c>
      <c r="AP174" s="169">
        <f>M174*(100+X174)%</f>
        <v>0</v>
      </c>
      <c r="AQ174" s="274">
        <f>ROUND(M174*F174,2)</f>
        <v>0</v>
      </c>
      <c r="AS174" s="274">
        <f>ROUND((AP174+AQ174)+AM174*(N174/12),0)</f>
        <v>0</v>
      </c>
      <c r="AT174" s="274">
        <f>ROUND(AM174*(O174/12),0)</f>
        <v>0</v>
      </c>
      <c r="AU174" s="274">
        <f>ROUND(AM174*(P174/12)*U174,0)</f>
        <v>0</v>
      </c>
      <c r="AW174" s="144">
        <f t="shared" si="50"/>
        <v>0</v>
      </c>
    </row>
    <row r="175" spans="1:49" x14ac:dyDescent="0.15">
      <c r="A175" s="173"/>
      <c r="B175" s="174"/>
      <c r="C175" s="174"/>
      <c r="D175" s="165" t="str">
        <f t="shared" si="34"/>
        <v xml:space="preserve"> </v>
      </c>
      <c r="E175" s="177"/>
      <c r="F175" s="287">
        <v>0</v>
      </c>
      <c r="G175" s="177">
        <v>37</v>
      </c>
      <c r="H175" s="177">
        <v>37</v>
      </c>
      <c r="I175" s="177"/>
      <c r="J175" s="179"/>
      <c r="K175" s="177"/>
      <c r="L175" s="179"/>
      <c r="M175" s="166"/>
      <c r="N175" s="166"/>
      <c r="O175" s="166"/>
      <c r="P175" s="166"/>
      <c r="Q175" s="167"/>
      <c r="R175" s="167"/>
      <c r="S175" s="168"/>
      <c r="V175" s="144">
        <f t="shared" si="42"/>
        <v>0</v>
      </c>
      <c r="W175" s="144">
        <f t="shared" si="43"/>
        <v>0</v>
      </c>
      <c r="X175" s="144">
        <f t="shared" si="35"/>
        <v>0</v>
      </c>
      <c r="Y175" s="144">
        <f t="shared" si="44"/>
        <v>34.464599999999997</v>
      </c>
      <c r="Z175" s="169">
        <f t="shared" si="36"/>
        <v>0</v>
      </c>
      <c r="AA175" s="274">
        <f t="shared" si="37"/>
        <v>0</v>
      </c>
      <c r="AB175" s="169">
        <f t="shared" si="45"/>
        <v>0</v>
      </c>
      <c r="AC175" s="274">
        <f t="shared" si="38"/>
        <v>0</v>
      </c>
      <c r="AD175" s="169">
        <f t="shared" si="39"/>
        <v>0</v>
      </c>
      <c r="AE175" s="274">
        <f t="shared" si="40"/>
        <v>0</v>
      </c>
      <c r="AF175" s="169">
        <f t="shared" si="46"/>
        <v>0</v>
      </c>
      <c r="AG175" s="274">
        <f t="shared" si="41"/>
        <v>0</v>
      </c>
      <c r="AH175" s="169">
        <f t="shared" si="47"/>
        <v>0</v>
      </c>
      <c r="AI175" s="169"/>
      <c r="AJ175" s="169">
        <f t="shared" si="48"/>
        <v>0</v>
      </c>
      <c r="AK175" s="169">
        <f t="shared" si="49"/>
        <v>0</v>
      </c>
      <c r="AL175" s="169"/>
      <c r="AM175" s="169"/>
      <c r="AN175" s="169"/>
      <c r="AQ175" s="169"/>
      <c r="AW175" s="144">
        <f t="shared" si="50"/>
        <v>0</v>
      </c>
    </row>
    <row r="176" spans="1:49" ht="9.75" thickBot="1" x14ac:dyDescent="0.2">
      <c r="A176" s="175"/>
      <c r="B176" s="176"/>
      <c r="C176" s="176"/>
      <c r="D176" s="170" t="str">
        <f>VLOOKUP(C176,Tabelændringskode,2,1)</f>
        <v xml:space="preserve"> </v>
      </c>
      <c r="E176" s="178"/>
      <c r="F176" s="288">
        <v>0</v>
      </c>
      <c r="G176" s="178">
        <v>37</v>
      </c>
      <c r="H176" s="178">
        <v>37</v>
      </c>
      <c r="I176" s="178"/>
      <c r="J176" s="180"/>
      <c r="K176" s="178"/>
      <c r="L176" s="180"/>
      <c r="M176" s="180"/>
      <c r="N176" s="178"/>
      <c r="O176" s="178"/>
      <c r="P176" s="178"/>
      <c r="Q176" s="171">
        <f>AS176</f>
        <v>0</v>
      </c>
      <c r="R176" s="171">
        <f>AT176</f>
        <v>0</v>
      </c>
      <c r="S176" s="172">
        <f>AU176</f>
        <v>0</v>
      </c>
      <c r="U176" s="144">
        <f>IF(OR(C175=5,C176=5),0,1)</f>
        <v>1</v>
      </c>
      <c r="V176" s="144">
        <f t="shared" si="42"/>
        <v>0</v>
      </c>
      <c r="W176" s="144">
        <f t="shared" si="43"/>
        <v>0</v>
      </c>
      <c r="X176" s="144">
        <f t="shared" si="35"/>
        <v>0</v>
      </c>
      <c r="Y176" s="144">
        <f t="shared" si="44"/>
        <v>34.464599999999997</v>
      </c>
      <c r="Z176" s="169">
        <f t="shared" si="36"/>
        <v>0</v>
      </c>
      <c r="AA176" s="274">
        <f t="shared" si="37"/>
        <v>0</v>
      </c>
      <c r="AB176" s="169">
        <f t="shared" si="45"/>
        <v>0</v>
      </c>
      <c r="AC176" s="274">
        <f t="shared" si="38"/>
        <v>0</v>
      </c>
      <c r="AD176" s="169">
        <f t="shared" si="39"/>
        <v>0</v>
      </c>
      <c r="AE176" s="274">
        <f t="shared" si="40"/>
        <v>0</v>
      </c>
      <c r="AF176" s="169">
        <f t="shared" si="46"/>
        <v>0</v>
      </c>
      <c r="AG176" s="274">
        <f t="shared" si="41"/>
        <v>0</v>
      </c>
      <c r="AH176" s="169">
        <f t="shared" si="47"/>
        <v>0</v>
      </c>
      <c r="AI176" s="169"/>
      <c r="AJ176" s="169">
        <f t="shared" si="48"/>
        <v>0</v>
      </c>
      <c r="AK176" s="169">
        <f t="shared" si="49"/>
        <v>0</v>
      </c>
      <c r="AL176" s="169"/>
      <c r="AM176" s="169">
        <f>AK175*W175+AK176*W176</f>
        <v>0</v>
      </c>
      <c r="AN176" s="169">
        <f>(SUM(AD175:AG175)*W175+SUM(AD176:AG176)*W176)*12*VLOOKUP(C176,JNovergang,3,1)</f>
        <v>0</v>
      </c>
      <c r="AO176" s="169">
        <f>AM176-AN176</f>
        <v>0</v>
      </c>
      <c r="AP176" s="169">
        <f>M176*(100+X176)%</f>
        <v>0</v>
      </c>
      <c r="AQ176" s="274">
        <f>ROUND(M176*F176,2)</f>
        <v>0</v>
      </c>
      <c r="AS176" s="274">
        <f>ROUND((AP176+AQ176)+AM176*(N176/12),0)</f>
        <v>0</v>
      </c>
      <c r="AT176" s="274">
        <f>ROUND(AM176*(O176/12),0)</f>
        <v>0</v>
      </c>
      <c r="AU176" s="274">
        <f>ROUND(AM176*(P176/12)*U176,0)</f>
        <v>0</v>
      </c>
      <c r="AW176" s="144">
        <f t="shared" si="50"/>
        <v>0</v>
      </c>
    </row>
    <row r="177" spans="1:49" x14ac:dyDescent="0.15">
      <c r="A177" s="173"/>
      <c r="B177" s="174"/>
      <c r="C177" s="174"/>
      <c r="D177" s="165" t="str">
        <f t="shared" ref="D177:D195" si="51">VLOOKUP(C177,Tabelændringskode,2,1)</f>
        <v xml:space="preserve"> </v>
      </c>
      <c r="E177" s="177"/>
      <c r="F177" s="287">
        <v>0</v>
      </c>
      <c r="G177" s="177">
        <v>37</v>
      </c>
      <c r="H177" s="177">
        <v>37</v>
      </c>
      <c r="I177" s="177"/>
      <c r="J177" s="179"/>
      <c r="K177" s="177"/>
      <c r="L177" s="179"/>
      <c r="M177" s="166"/>
      <c r="N177" s="166"/>
      <c r="O177" s="166"/>
      <c r="P177" s="166"/>
      <c r="Q177" s="167"/>
      <c r="R177" s="167"/>
      <c r="S177" s="168"/>
      <c r="V177" s="144">
        <f t="shared" si="42"/>
        <v>0</v>
      </c>
      <c r="W177" s="144">
        <f t="shared" si="43"/>
        <v>0</v>
      </c>
      <c r="X177" s="144">
        <f t="shared" si="35"/>
        <v>0</v>
      </c>
      <c r="Y177" s="144">
        <f t="shared" si="44"/>
        <v>34.464599999999997</v>
      </c>
      <c r="Z177" s="169">
        <f t="shared" si="36"/>
        <v>0</v>
      </c>
      <c r="AA177" s="274">
        <f t="shared" si="37"/>
        <v>0</v>
      </c>
      <c r="AB177" s="169">
        <f t="shared" si="45"/>
        <v>0</v>
      </c>
      <c r="AC177" s="274">
        <f t="shared" si="38"/>
        <v>0</v>
      </c>
      <c r="AD177" s="169">
        <f t="shared" si="39"/>
        <v>0</v>
      </c>
      <c r="AE177" s="274">
        <f t="shared" si="40"/>
        <v>0</v>
      </c>
      <c r="AF177" s="169">
        <f t="shared" si="46"/>
        <v>0</v>
      </c>
      <c r="AG177" s="274">
        <f t="shared" si="41"/>
        <v>0</v>
      </c>
      <c r="AH177" s="169">
        <f t="shared" si="47"/>
        <v>0</v>
      </c>
      <c r="AI177" s="169"/>
      <c r="AJ177" s="169">
        <f t="shared" si="48"/>
        <v>0</v>
      </c>
      <c r="AK177" s="169">
        <f t="shared" si="49"/>
        <v>0</v>
      </c>
      <c r="AL177" s="169"/>
      <c r="AM177" s="169"/>
      <c r="AN177" s="169"/>
      <c r="AQ177" s="169"/>
      <c r="AW177" s="144">
        <f t="shared" si="50"/>
        <v>0</v>
      </c>
    </row>
    <row r="178" spans="1:49" ht="9.75" thickBot="1" x14ac:dyDescent="0.2">
      <c r="A178" s="175"/>
      <c r="B178" s="176"/>
      <c r="C178" s="176"/>
      <c r="D178" s="170" t="str">
        <f>VLOOKUP(C178,Tabelændringskode,2,1)</f>
        <v xml:space="preserve"> </v>
      </c>
      <c r="E178" s="178"/>
      <c r="F178" s="288">
        <v>0</v>
      </c>
      <c r="G178" s="178">
        <v>37</v>
      </c>
      <c r="H178" s="178">
        <v>37</v>
      </c>
      <c r="I178" s="178"/>
      <c r="J178" s="180"/>
      <c r="K178" s="178"/>
      <c r="L178" s="180"/>
      <c r="M178" s="180"/>
      <c r="N178" s="178"/>
      <c r="O178" s="178"/>
      <c r="P178" s="178"/>
      <c r="Q178" s="171">
        <f>AS178</f>
        <v>0</v>
      </c>
      <c r="R178" s="171">
        <f>AT178</f>
        <v>0</v>
      </c>
      <c r="S178" s="172">
        <f>AU178</f>
        <v>0</v>
      </c>
      <c r="U178" s="144">
        <f>IF(OR(C177=5,C178=5),0,1)</f>
        <v>1</v>
      </c>
      <c r="V178" s="144">
        <f t="shared" si="42"/>
        <v>0</v>
      </c>
      <c r="W178" s="144">
        <f t="shared" si="43"/>
        <v>0</v>
      </c>
      <c r="X178" s="144">
        <f t="shared" si="35"/>
        <v>0</v>
      </c>
      <c r="Y178" s="144">
        <f t="shared" si="44"/>
        <v>34.464599999999997</v>
      </c>
      <c r="Z178" s="169">
        <f t="shared" si="36"/>
        <v>0</v>
      </c>
      <c r="AA178" s="274">
        <f t="shared" si="37"/>
        <v>0</v>
      </c>
      <c r="AB178" s="169">
        <f t="shared" si="45"/>
        <v>0</v>
      </c>
      <c r="AC178" s="274">
        <f t="shared" si="38"/>
        <v>0</v>
      </c>
      <c r="AD178" s="169">
        <f t="shared" si="39"/>
        <v>0</v>
      </c>
      <c r="AE178" s="274">
        <f t="shared" si="40"/>
        <v>0</v>
      </c>
      <c r="AF178" s="169">
        <f t="shared" si="46"/>
        <v>0</v>
      </c>
      <c r="AG178" s="274">
        <f t="shared" si="41"/>
        <v>0</v>
      </c>
      <c r="AH178" s="169">
        <f t="shared" si="47"/>
        <v>0</v>
      </c>
      <c r="AI178" s="169"/>
      <c r="AJ178" s="169">
        <f t="shared" si="48"/>
        <v>0</v>
      </c>
      <c r="AK178" s="169">
        <f t="shared" si="49"/>
        <v>0</v>
      </c>
      <c r="AL178" s="169"/>
      <c r="AM178" s="169">
        <f>AK177*W177+AK178*W178</f>
        <v>0</v>
      </c>
      <c r="AN178" s="169">
        <f>(SUM(AD177:AG177)*W177+SUM(AD178:AG178)*W178)*12*VLOOKUP(C178,JNovergang,3,1)</f>
        <v>0</v>
      </c>
      <c r="AO178" s="169">
        <f>AM178-AN178</f>
        <v>0</v>
      </c>
      <c r="AP178" s="169">
        <f>M178*(100+X178)%</f>
        <v>0</v>
      </c>
      <c r="AQ178" s="274">
        <f>ROUND(M178*F178,2)</f>
        <v>0</v>
      </c>
      <c r="AS178" s="274">
        <f>ROUND((AP178+AQ178)+AM178*(N178/12),0)</f>
        <v>0</v>
      </c>
      <c r="AT178" s="274">
        <f>ROUND(AM178*(O178/12),0)</f>
        <v>0</v>
      </c>
      <c r="AU178" s="274">
        <f>ROUND(AM178*(P178/12)*U178,0)</f>
        <v>0</v>
      </c>
      <c r="AW178" s="144">
        <f t="shared" si="50"/>
        <v>0</v>
      </c>
    </row>
    <row r="179" spans="1:49" x14ac:dyDescent="0.15">
      <c r="A179" s="173"/>
      <c r="B179" s="174"/>
      <c r="C179" s="174"/>
      <c r="D179" s="165" t="str">
        <f t="shared" si="51"/>
        <v xml:space="preserve"> </v>
      </c>
      <c r="E179" s="177"/>
      <c r="F179" s="287">
        <v>0</v>
      </c>
      <c r="G179" s="177">
        <v>37</v>
      </c>
      <c r="H179" s="177">
        <v>37</v>
      </c>
      <c r="I179" s="177"/>
      <c r="J179" s="179"/>
      <c r="K179" s="177"/>
      <c r="L179" s="179"/>
      <c r="M179" s="166"/>
      <c r="N179" s="166"/>
      <c r="O179" s="166"/>
      <c r="P179" s="166"/>
      <c r="Q179" s="167"/>
      <c r="R179" s="167"/>
      <c r="S179" s="168"/>
      <c r="V179" s="144">
        <f t="shared" si="42"/>
        <v>0</v>
      </c>
      <c r="W179" s="144">
        <f t="shared" si="43"/>
        <v>0</v>
      </c>
      <c r="X179" s="144">
        <f t="shared" ref="X179:X242" si="52">VLOOKUP(C179,JNferiepenge,3,1)</f>
        <v>0</v>
      </c>
      <c r="Y179" s="144">
        <f t="shared" si="44"/>
        <v>34.464599999999997</v>
      </c>
      <c r="Z179" s="169">
        <f t="shared" si="36"/>
        <v>0</v>
      </c>
      <c r="AA179" s="274">
        <f t="shared" si="37"/>
        <v>0</v>
      </c>
      <c r="AB179" s="169">
        <f t="shared" si="45"/>
        <v>0</v>
      </c>
      <c r="AC179" s="274">
        <f t="shared" si="38"/>
        <v>0</v>
      </c>
      <c r="AD179" s="169">
        <f t="shared" si="39"/>
        <v>0</v>
      </c>
      <c r="AE179" s="274">
        <f t="shared" si="40"/>
        <v>0</v>
      </c>
      <c r="AF179" s="169">
        <f t="shared" si="46"/>
        <v>0</v>
      </c>
      <c r="AG179" s="274">
        <f t="shared" si="41"/>
        <v>0</v>
      </c>
      <c r="AH179" s="169">
        <f t="shared" si="47"/>
        <v>0</v>
      </c>
      <c r="AI179" s="169"/>
      <c r="AJ179" s="169">
        <f t="shared" si="48"/>
        <v>0</v>
      </c>
      <c r="AK179" s="169">
        <f t="shared" si="49"/>
        <v>0</v>
      </c>
      <c r="AL179" s="169"/>
      <c r="AM179" s="169"/>
      <c r="AN179" s="169"/>
      <c r="AQ179" s="169"/>
      <c r="AW179" s="144">
        <f t="shared" si="50"/>
        <v>0</v>
      </c>
    </row>
    <row r="180" spans="1:49" ht="9.75" thickBot="1" x14ac:dyDescent="0.2">
      <c r="A180" s="175"/>
      <c r="B180" s="176"/>
      <c r="C180" s="176"/>
      <c r="D180" s="170" t="str">
        <f>VLOOKUP(C180,Tabelændringskode,2,1)</f>
        <v xml:space="preserve"> </v>
      </c>
      <c r="E180" s="178"/>
      <c r="F180" s="288">
        <v>0</v>
      </c>
      <c r="G180" s="178">
        <v>37</v>
      </c>
      <c r="H180" s="178">
        <v>37</v>
      </c>
      <c r="I180" s="178"/>
      <c r="J180" s="180"/>
      <c r="K180" s="178"/>
      <c r="L180" s="180"/>
      <c r="M180" s="180"/>
      <c r="N180" s="178"/>
      <c r="O180" s="178"/>
      <c r="P180" s="178"/>
      <c r="Q180" s="171">
        <f>AS180</f>
        <v>0</v>
      </c>
      <c r="R180" s="171">
        <f>AT180</f>
        <v>0</v>
      </c>
      <c r="S180" s="172">
        <f>AU180</f>
        <v>0</v>
      </c>
      <c r="U180" s="144">
        <f>IF(OR(C179=5,C180=5),0,1)</f>
        <v>1</v>
      </c>
      <c r="V180" s="144">
        <f t="shared" si="42"/>
        <v>0</v>
      </c>
      <c r="W180" s="144">
        <f t="shared" si="43"/>
        <v>0</v>
      </c>
      <c r="X180" s="144">
        <f t="shared" si="52"/>
        <v>0</v>
      </c>
      <c r="Y180" s="144">
        <f t="shared" si="44"/>
        <v>34.464599999999997</v>
      </c>
      <c r="Z180" s="169">
        <f t="shared" si="36"/>
        <v>0</v>
      </c>
      <c r="AA180" s="274">
        <f t="shared" si="37"/>
        <v>0</v>
      </c>
      <c r="AB180" s="169">
        <f t="shared" si="45"/>
        <v>0</v>
      </c>
      <c r="AC180" s="274">
        <f t="shared" si="38"/>
        <v>0</v>
      </c>
      <c r="AD180" s="169">
        <f t="shared" si="39"/>
        <v>0</v>
      </c>
      <c r="AE180" s="274">
        <f t="shared" si="40"/>
        <v>0</v>
      </c>
      <c r="AF180" s="169">
        <f t="shared" si="46"/>
        <v>0</v>
      </c>
      <c r="AG180" s="274">
        <f t="shared" si="41"/>
        <v>0</v>
      </c>
      <c r="AH180" s="169">
        <f t="shared" si="47"/>
        <v>0</v>
      </c>
      <c r="AI180" s="169"/>
      <c r="AJ180" s="169">
        <f t="shared" si="48"/>
        <v>0</v>
      </c>
      <c r="AK180" s="169">
        <f t="shared" si="49"/>
        <v>0</v>
      </c>
      <c r="AL180" s="169"/>
      <c r="AM180" s="169">
        <f>AK179*W179+AK180*W180</f>
        <v>0</v>
      </c>
      <c r="AN180" s="169">
        <f>(SUM(AD179:AG179)*W179+SUM(AD180:AG180)*W180)*12*VLOOKUP(C180,JNovergang,3,1)</f>
        <v>0</v>
      </c>
      <c r="AO180" s="169">
        <f>AM180-AN180</f>
        <v>0</v>
      </c>
      <c r="AP180" s="169">
        <f>M180*(100+X180)%</f>
        <v>0</v>
      </c>
      <c r="AQ180" s="274">
        <f>ROUND(M180*F180,2)</f>
        <v>0</v>
      </c>
      <c r="AS180" s="274">
        <f>ROUND((AP180+AQ180)+AM180*(N180/12),0)</f>
        <v>0</v>
      </c>
      <c r="AT180" s="274">
        <f>ROUND(AM180*(O180/12),0)</f>
        <v>0</v>
      </c>
      <c r="AU180" s="274">
        <f>ROUND(AM180*(P180/12)*U180,0)</f>
        <v>0</v>
      </c>
      <c r="AW180" s="144">
        <f t="shared" si="50"/>
        <v>0</v>
      </c>
    </row>
    <row r="181" spans="1:49" x14ac:dyDescent="0.15">
      <c r="A181" s="173"/>
      <c r="B181" s="174"/>
      <c r="C181" s="174"/>
      <c r="D181" s="165" t="str">
        <f t="shared" si="51"/>
        <v xml:space="preserve"> </v>
      </c>
      <c r="E181" s="177"/>
      <c r="F181" s="287">
        <v>0</v>
      </c>
      <c r="G181" s="177">
        <v>37</v>
      </c>
      <c r="H181" s="177">
        <v>37</v>
      </c>
      <c r="I181" s="177"/>
      <c r="J181" s="179"/>
      <c r="K181" s="177"/>
      <c r="L181" s="179"/>
      <c r="M181" s="166"/>
      <c r="N181" s="166"/>
      <c r="O181" s="166"/>
      <c r="P181" s="166"/>
      <c r="Q181" s="167"/>
      <c r="R181" s="167"/>
      <c r="S181" s="168"/>
      <c r="V181" s="144">
        <f t="shared" si="42"/>
        <v>0</v>
      </c>
      <c r="W181" s="144">
        <f t="shared" si="43"/>
        <v>0</v>
      </c>
      <c r="X181" s="144">
        <f t="shared" si="52"/>
        <v>0</v>
      </c>
      <c r="Y181" s="144">
        <f t="shared" si="44"/>
        <v>34.464599999999997</v>
      </c>
      <c r="Z181" s="169">
        <f t="shared" si="36"/>
        <v>0</v>
      </c>
      <c r="AA181" s="274">
        <f t="shared" si="37"/>
        <v>0</v>
      </c>
      <c r="AB181" s="169">
        <f t="shared" si="45"/>
        <v>0</v>
      </c>
      <c r="AC181" s="274">
        <f t="shared" si="38"/>
        <v>0</v>
      </c>
      <c r="AD181" s="169">
        <f t="shared" si="39"/>
        <v>0</v>
      </c>
      <c r="AE181" s="274">
        <f t="shared" si="40"/>
        <v>0</v>
      </c>
      <c r="AF181" s="169">
        <f t="shared" si="46"/>
        <v>0</v>
      </c>
      <c r="AG181" s="274">
        <f t="shared" si="41"/>
        <v>0</v>
      </c>
      <c r="AH181" s="169">
        <f t="shared" si="47"/>
        <v>0</v>
      </c>
      <c r="AI181" s="169"/>
      <c r="AJ181" s="169">
        <f t="shared" si="48"/>
        <v>0</v>
      </c>
      <c r="AK181" s="169">
        <f t="shared" si="49"/>
        <v>0</v>
      </c>
      <c r="AL181" s="169"/>
      <c r="AM181" s="169"/>
      <c r="AN181" s="169"/>
      <c r="AQ181" s="169"/>
      <c r="AW181" s="144">
        <f t="shared" si="50"/>
        <v>0</v>
      </c>
    </row>
    <row r="182" spans="1:49" ht="9.75" thickBot="1" x14ac:dyDescent="0.2">
      <c r="A182" s="175"/>
      <c r="B182" s="176"/>
      <c r="C182" s="176"/>
      <c r="D182" s="170" t="str">
        <f>VLOOKUP(C182,Tabelændringskode,2,1)</f>
        <v xml:space="preserve"> </v>
      </c>
      <c r="E182" s="178"/>
      <c r="F182" s="288">
        <v>0</v>
      </c>
      <c r="G182" s="178">
        <v>37</v>
      </c>
      <c r="H182" s="178">
        <v>37</v>
      </c>
      <c r="I182" s="178"/>
      <c r="J182" s="180"/>
      <c r="K182" s="178"/>
      <c r="L182" s="180"/>
      <c r="M182" s="180"/>
      <c r="N182" s="178"/>
      <c r="O182" s="178"/>
      <c r="P182" s="178"/>
      <c r="Q182" s="171">
        <f>AS182</f>
        <v>0</v>
      </c>
      <c r="R182" s="171">
        <f>AT182</f>
        <v>0</v>
      </c>
      <c r="S182" s="172">
        <f>AU182</f>
        <v>0</v>
      </c>
      <c r="U182" s="144">
        <f>IF(OR(C181=5,C182=5),0,1)</f>
        <v>1</v>
      </c>
      <c r="V182" s="144">
        <f t="shared" si="42"/>
        <v>0</v>
      </c>
      <c r="W182" s="144">
        <f t="shared" si="43"/>
        <v>0</v>
      </c>
      <c r="X182" s="144">
        <f t="shared" si="52"/>
        <v>0</v>
      </c>
      <c r="Y182" s="144">
        <f t="shared" si="44"/>
        <v>34.464599999999997</v>
      </c>
      <c r="Z182" s="169">
        <f t="shared" si="36"/>
        <v>0</v>
      </c>
      <c r="AA182" s="274">
        <f t="shared" si="37"/>
        <v>0</v>
      </c>
      <c r="AB182" s="169">
        <f t="shared" si="45"/>
        <v>0</v>
      </c>
      <c r="AC182" s="274">
        <f t="shared" si="38"/>
        <v>0</v>
      </c>
      <c r="AD182" s="169">
        <f t="shared" si="39"/>
        <v>0</v>
      </c>
      <c r="AE182" s="274">
        <f t="shared" si="40"/>
        <v>0</v>
      </c>
      <c r="AF182" s="169">
        <f t="shared" si="46"/>
        <v>0</v>
      </c>
      <c r="AG182" s="274">
        <f t="shared" si="41"/>
        <v>0</v>
      </c>
      <c r="AH182" s="169">
        <f t="shared" si="47"/>
        <v>0</v>
      </c>
      <c r="AI182" s="169"/>
      <c r="AJ182" s="169">
        <f t="shared" si="48"/>
        <v>0</v>
      </c>
      <c r="AK182" s="169">
        <f t="shared" si="49"/>
        <v>0</v>
      </c>
      <c r="AL182" s="169"/>
      <c r="AM182" s="169">
        <f>AK181*W181+AK182*W182</f>
        <v>0</v>
      </c>
      <c r="AN182" s="169">
        <f>(SUM(AD181:AG181)*W181+SUM(AD182:AG182)*W182)*12*VLOOKUP(C182,JNovergang,3,1)</f>
        <v>0</v>
      </c>
      <c r="AO182" s="169">
        <f>AM182-AN182</f>
        <v>0</v>
      </c>
      <c r="AP182" s="169">
        <f>M182*(100+X182)%</f>
        <v>0</v>
      </c>
      <c r="AQ182" s="274">
        <f>ROUND(M182*F182,2)</f>
        <v>0</v>
      </c>
      <c r="AS182" s="274">
        <f>ROUND((AP182+AQ182)+AM182*(N182/12),0)</f>
        <v>0</v>
      </c>
      <c r="AT182" s="274">
        <f>ROUND(AM182*(O182/12),0)</f>
        <v>0</v>
      </c>
      <c r="AU182" s="274">
        <f>ROUND(AM182*(P182/12)*U182,0)</f>
        <v>0</v>
      </c>
      <c r="AW182" s="144">
        <f t="shared" si="50"/>
        <v>0</v>
      </c>
    </row>
    <row r="183" spans="1:49" x14ac:dyDescent="0.15">
      <c r="A183" s="173"/>
      <c r="B183" s="174"/>
      <c r="C183" s="174"/>
      <c r="D183" s="165" t="str">
        <f t="shared" si="51"/>
        <v xml:space="preserve"> </v>
      </c>
      <c r="E183" s="177"/>
      <c r="F183" s="287">
        <v>0</v>
      </c>
      <c r="G183" s="177">
        <v>37</v>
      </c>
      <c r="H183" s="177">
        <v>37</v>
      </c>
      <c r="I183" s="177"/>
      <c r="J183" s="179"/>
      <c r="K183" s="177"/>
      <c r="L183" s="179"/>
      <c r="M183" s="166"/>
      <c r="N183" s="166"/>
      <c r="O183" s="166"/>
      <c r="P183" s="166"/>
      <c r="Q183" s="167"/>
      <c r="R183" s="167"/>
      <c r="S183" s="168"/>
      <c r="V183" s="144">
        <f t="shared" si="42"/>
        <v>0</v>
      </c>
      <c r="W183" s="144">
        <f t="shared" si="43"/>
        <v>0</v>
      </c>
      <c r="X183" s="144">
        <f t="shared" si="52"/>
        <v>0</v>
      </c>
      <c r="Y183" s="144">
        <f t="shared" si="44"/>
        <v>34.464599999999997</v>
      </c>
      <c r="Z183" s="169">
        <f t="shared" si="36"/>
        <v>0</v>
      </c>
      <c r="AA183" s="274">
        <f t="shared" si="37"/>
        <v>0</v>
      </c>
      <c r="AB183" s="169">
        <f t="shared" si="45"/>
        <v>0</v>
      </c>
      <c r="AC183" s="274">
        <f t="shared" si="38"/>
        <v>0</v>
      </c>
      <c r="AD183" s="169">
        <f t="shared" si="39"/>
        <v>0</v>
      </c>
      <c r="AE183" s="274">
        <f t="shared" si="40"/>
        <v>0</v>
      </c>
      <c r="AF183" s="169">
        <f t="shared" si="46"/>
        <v>0</v>
      </c>
      <c r="AG183" s="274">
        <f t="shared" si="41"/>
        <v>0</v>
      </c>
      <c r="AH183" s="169">
        <f t="shared" si="47"/>
        <v>0</v>
      </c>
      <c r="AI183" s="169"/>
      <c r="AJ183" s="169">
        <f t="shared" si="48"/>
        <v>0</v>
      </c>
      <c r="AK183" s="169">
        <f t="shared" si="49"/>
        <v>0</v>
      </c>
      <c r="AL183" s="169"/>
      <c r="AM183" s="169"/>
      <c r="AN183" s="169"/>
      <c r="AQ183" s="169"/>
      <c r="AW183" s="144">
        <f t="shared" si="50"/>
        <v>0</v>
      </c>
    </row>
    <row r="184" spans="1:49" ht="9.75" thickBot="1" x14ac:dyDescent="0.2">
      <c r="A184" s="175"/>
      <c r="B184" s="176"/>
      <c r="C184" s="176"/>
      <c r="D184" s="170" t="str">
        <f>VLOOKUP(C184,Tabelændringskode,2,1)</f>
        <v xml:space="preserve"> </v>
      </c>
      <c r="E184" s="178"/>
      <c r="F184" s="288">
        <v>0</v>
      </c>
      <c r="G184" s="178">
        <v>37</v>
      </c>
      <c r="H184" s="178">
        <v>37</v>
      </c>
      <c r="I184" s="178"/>
      <c r="J184" s="180"/>
      <c r="K184" s="178"/>
      <c r="L184" s="180"/>
      <c r="M184" s="180"/>
      <c r="N184" s="178"/>
      <c r="O184" s="178"/>
      <c r="P184" s="178"/>
      <c r="Q184" s="171">
        <f>AS184</f>
        <v>0</v>
      </c>
      <c r="R184" s="171">
        <f>AT184</f>
        <v>0</v>
      </c>
      <c r="S184" s="172">
        <f>AU184</f>
        <v>0</v>
      </c>
      <c r="U184" s="144">
        <f>IF(OR(C183=5,C184=5),0,1)</f>
        <v>1</v>
      </c>
      <c r="V184" s="144">
        <f t="shared" si="42"/>
        <v>0</v>
      </c>
      <c r="W184" s="144">
        <f t="shared" si="43"/>
        <v>0</v>
      </c>
      <c r="X184" s="144">
        <f t="shared" si="52"/>
        <v>0</v>
      </c>
      <c r="Y184" s="144">
        <f t="shared" si="44"/>
        <v>34.464599999999997</v>
      </c>
      <c r="Z184" s="169">
        <f t="shared" si="36"/>
        <v>0</v>
      </c>
      <c r="AA184" s="274">
        <f t="shared" si="37"/>
        <v>0</v>
      </c>
      <c r="AB184" s="169">
        <f t="shared" si="45"/>
        <v>0</v>
      </c>
      <c r="AC184" s="274">
        <f t="shared" si="38"/>
        <v>0</v>
      </c>
      <c r="AD184" s="169">
        <f t="shared" si="39"/>
        <v>0</v>
      </c>
      <c r="AE184" s="274">
        <f t="shared" si="40"/>
        <v>0</v>
      </c>
      <c r="AF184" s="169">
        <f t="shared" si="46"/>
        <v>0</v>
      </c>
      <c r="AG184" s="274">
        <f t="shared" si="41"/>
        <v>0</v>
      </c>
      <c r="AH184" s="169">
        <f t="shared" si="47"/>
        <v>0</v>
      </c>
      <c r="AI184" s="169"/>
      <c r="AJ184" s="169">
        <f t="shared" si="48"/>
        <v>0</v>
      </c>
      <c r="AK184" s="169">
        <f t="shared" si="49"/>
        <v>0</v>
      </c>
      <c r="AL184" s="169"/>
      <c r="AM184" s="169">
        <f>AK183*W183+AK184*W184</f>
        <v>0</v>
      </c>
      <c r="AN184" s="169">
        <f>(SUM(AD183:AG183)*W183+SUM(AD184:AG184)*W184)*12*VLOOKUP(C184,JNovergang,3,1)</f>
        <v>0</v>
      </c>
      <c r="AO184" s="169">
        <f>AM184-AN184</f>
        <v>0</v>
      </c>
      <c r="AP184" s="169">
        <f>M184*(100+X184)%</f>
        <v>0</v>
      </c>
      <c r="AQ184" s="274">
        <f>ROUND(M184*F184,2)</f>
        <v>0</v>
      </c>
      <c r="AS184" s="274">
        <f>ROUND((AP184+AQ184)+AM184*(N184/12),0)</f>
        <v>0</v>
      </c>
      <c r="AT184" s="274">
        <f>ROUND(AM184*(O184/12),0)</f>
        <v>0</v>
      </c>
      <c r="AU184" s="274">
        <f>ROUND(AM184*(P184/12)*U184,0)</f>
        <v>0</v>
      </c>
      <c r="AW184" s="144">
        <f t="shared" si="50"/>
        <v>0</v>
      </c>
    </row>
    <row r="185" spans="1:49" x14ac:dyDescent="0.15">
      <c r="A185" s="173"/>
      <c r="B185" s="174"/>
      <c r="C185" s="174"/>
      <c r="D185" s="165" t="str">
        <f t="shared" si="51"/>
        <v xml:space="preserve"> </v>
      </c>
      <c r="E185" s="177"/>
      <c r="F185" s="287">
        <v>0</v>
      </c>
      <c r="G185" s="177">
        <v>37</v>
      </c>
      <c r="H185" s="177">
        <v>37</v>
      </c>
      <c r="I185" s="177"/>
      <c r="J185" s="179"/>
      <c r="K185" s="177"/>
      <c r="L185" s="179"/>
      <c r="M185" s="166"/>
      <c r="N185" s="166"/>
      <c r="O185" s="166"/>
      <c r="P185" s="166"/>
      <c r="Q185" s="167"/>
      <c r="R185" s="167"/>
      <c r="S185" s="168"/>
      <c r="V185" s="144">
        <f t="shared" si="42"/>
        <v>0</v>
      </c>
      <c r="W185" s="144">
        <f t="shared" si="43"/>
        <v>0</v>
      </c>
      <c r="X185" s="144">
        <f t="shared" si="52"/>
        <v>0</v>
      </c>
      <c r="Y185" s="144">
        <f t="shared" si="44"/>
        <v>34.464599999999997</v>
      </c>
      <c r="Z185" s="169">
        <f t="shared" si="36"/>
        <v>0</v>
      </c>
      <c r="AA185" s="274">
        <f t="shared" si="37"/>
        <v>0</v>
      </c>
      <c r="AB185" s="169">
        <f t="shared" si="45"/>
        <v>0</v>
      </c>
      <c r="AC185" s="274">
        <f t="shared" si="38"/>
        <v>0</v>
      </c>
      <c r="AD185" s="169">
        <f t="shared" si="39"/>
        <v>0</v>
      </c>
      <c r="AE185" s="274">
        <f t="shared" si="40"/>
        <v>0</v>
      </c>
      <c r="AF185" s="169">
        <f t="shared" si="46"/>
        <v>0</v>
      </c>
      <c r="AG185" s="274">
        <f t="shared" si="41"/>
        <v>0</v>
      </c>
      <c r="AH185" s="169">
        <f t="shared" si="47"/>
        <v>0</v>
      </c>
      <c r="AI185" s="169"/>
      <c r="AJ185" s="169">
        <f t="shared" si="48"/>
        <v>0</v>
      </c>
      <c r="AK185" s="169">
        <f t="shared" si="49"/>
        <v>0</v>
      </c>
      <c r="AL185" s="169"/>
      <c r="AM185" s="169"/>
      <c r="AN185" s="169"/>
      <c r="AQ185" s="169"/>
      <c r="AW185" s="144">
        <f t="shared" si="50"/>
        <v>0</v>
      </c>
    </row>
    <row r="186" spans="1:49" ht="9.75" thickBot="1" x14ac:dyDescent="0.2">
      <c r="A186" s="175"/>
      <c r="B186" s="176"/>
      <c r="C186" s="176"/>
      <c r="D186" s="170" t="str">
        <f>VLOOKUP(C186,Tabelændringskode,2,1)</f>
        <v xml:space="preserve"> </v>
      </c>
      <c r="E186" s="178"/>
      <c r="F186" s="288">
        <v>0</v>
      </c>
      <c r="G186" s="178">
        <v>37</v>
      </c>
      <c r="H186" s="178">
        <v>37</v>
      </c>
      <c r="I186" s="178"/>
      <c r="J186" s="180"/>
      <c r="K186" s="178"/>
      <c r="L186" s="180"/>
      <c r="M186" s="180"/>
      <c r="N186" s="178"/>
      <c r="O186" s="178"/>
      <c r="P186" s="178"/>
      <c r="Q186" s="171">
        <f>AS186</f>
        <v>0</v>
      </c>
      <c r="R186" s="171">
        <f>AT186</f>
        <v>0</v>
      </c>
      <c r="S186" s="172">
        <f>AU186</f>
        <v>0</v>
      </c>
      <c r="U186" s="144">
        <f>IF(OR(C185=5,C186=5),0,1)</f>
        <v>1</v>
      </c>
      <c r="V186" s="144">
        <f t="shared" si="42"/>
        <v>0</v>
      </c>
      <c r="W186" s="144">
        <f t="shared" si="43"/>
        <v>0</v>
      </c>
      <c r="X186" s="144">
        <f t="shared" si="52"/>
        <v>0</v>
      </c>
      <c r="Y186" s="144">
        <f t="shared" si="44"/>
        <v>34.464599999999997</v>
      </c>
      <c r="Z186" s="169">
        <f t="shared" si="36"/>
        <v>0</v>
      </c>
      <c r="AA186" s="274">
        <f t="shared" si="37"/>
        <v>0</v>
      </c>
      <c r="AB186" s="169">
        <f t="shared" si="45"/>
        <v>0</v>
      </c>
      <c r="AC186" s="274">
        <f t="shared" si="38"/>
        <v>0</v>
      </c>
      <c r="AD186" s="169">
        <f t="shared" si="39"/>
        <v>0</v>
      </c>
      <c r="AE186" s="274">
        <f t="shared" si="40"/>
        <v>0</v>
      </c>
      <c r="AF186" s="169">
        <f t="shared" si="46"/>
        <v>0</v>
      </c>
      <c r="AG186" s="274">
        <f t="shared" si="41"/>
        <v>0</v>
      </c>
      <c r="AH186" s="169">
        <f t="shared" si="47"/>
        <v>0</v>
      </c>
      <c r="AI186" s="169"/>
      <c r="AJ186" s="169">
        <f t="shared" si="48"/>
        <v>0</v>
      </c>
      <c r="AK186" s="169">
        <f t="shared" si="49"/>
        <v>0</v>
      </c>
      <c r="AL186" s="169"/>
      <c r="AM186" s="169">
        <f>AK185*W185+AK186*W186</f>
        <v>0</v>
      </c>
      <c r="AN186" s="169">
        <f>(SUM(AD185:AG185)*W185+SUM(AD186:AG186)*W186)*12*VLOOKUP(C186,JNovergang,3,1)</f>
        <v>0</v>
      </c>
      <c r="AO186" s="169">
        <f>AM186-AN186</f>
        <v>0</v>
      </c>
      <c r="AP186" s="169">
        <f>M186*(100+X186)%</f>
        <v>0</v>
      </c>
      <c r="AQ186" s="274">
        <f>ROUND(M186*F186,2)</f>
        <v>0</v>
      </c>
      <c r="AS186" s="274">
        <f>ROUND((AP186+AQ186)+AM186*(N186/12),0)</f>
        <v>0</v>
      </c>
      <c r="AT186" s="274">
        <f>ROUND(AM186*(O186/12),0)</f>
        <v>0</v>
      </c>
      <c r="AU186" s="274">
        <f>ROUND(AM186*(P186/12)*U186,0)</f>
        <v>0</v>
      </c>
      <c r="AW186" s="144">
        <f t="shared" si="50"/>
        <v>0</v>
      </c>
    </row>
    <row r="187" spans="1:49" x14ac:dyDescent="0.15">
      <c r="A187" s="173"/>
      <c r="B187" s="174"/>
      <c r="C187" s="174"/>
      <c r="D187" s="165" t="str">
        <f t="shared" si="51"/>
        <v xml:space="preserve"> </v>
      </c>
      <c r="E187" s="177"/>
      <c r="F187" s="287">
        <v>0</v>
      </c>
      <c r="G187" s="177">
        <v>37</v>
      </c>
      <c r="H187" s="177">
        <v>37</v>
      </c>
      <c r="I187" s="177"/>
      <c r="J187" s="179"/>
      <c r="K187" s="177"/>
      <c r="L187" s="179"/>
      <c r="M187" s="166"/>
      <c r="N187" s="166"/>
      <c r="O187" s="166"/>
      <c r="P187" s="166"/>
      <c r="Q187" s="167"/>
      <c r="R187" s="167"/>
      <c r="S187" s="168"/>
      <c r="V187" s="144">
        <f t="shared" si="42"/>
        <v>0</v>
      </c>
      <c r="W187" s="144">
        <f t="shared" si="43"/>
        <v>0</v>
      </c>
      <c r="X187" s="144">
        <f t="shared" si="52"/>
        <v>0</v>
      </c>
      <c r="Y187" s="144">
        <f t="shared" si="44"/>
        <v>34.464599999999997</v>
      </c>
      <c r="Z187" s="169">
        <f t="shared" si="36"/>
        <v>0</v>
      </c>
      <c r="AA187" s="274">
        <f t="shared" si="37"/>
        <v>0</v>
      </c>
      <c r="AB187" s="169">
        <f t="shared" si="45"/>
        <v>0</v>
      </c>
      <c r="AC187" s="274">
        <f t="shared" si="38"/>
        <v>0</v>
      </c>
      <c r="AD187" s="169">
        <f t="shared" si="39"/>
        <v>0</v>
      </c>
      <c r="AE187" s="274">
        <f t="shared" si="40"/>
        <v>0</v>
      </c>
      <c r="AF187" s="169">
        <f t="shared" si="46"/>
        <v>0</v>
      </c>
      <c r="AG187" s="274">
        <f t="shared" si="41"/>
        <v>0</v>
      </c>
      <c r="AH187" s="169">
        <f t="shared" si="47"/>
        <v>0</v>
      </c>
      <c r="AI187" s="169"/>
      <c r="AJ187" s="169">
        <f t="shared" si="48"/>
        <v>0</v>
      </c>
      <c r="AK187" s="169">
        <f t="shared" si="49"/>
        <v>0</v>
      </c>
      <c r="AL187" s="169"/>
      <c r="AM187" s="169"/>
      <c r="AN187" s="169"/>
      <c r="AQ187" s="169"/>
      <c r="AW187" s="144">
        <f t="shared" si="50"/>
        <v>0</v>
      </c>
    </row>
    <row r="188" spans="1:49" ht="9.75" thickBot="1" x14ac:dyDescent="0.2">
      <c r="A188" s="175"/>
      <c r="B188" s="176"/>
      <c r="C188" s="176"/>
      <c r="D188" s="170" t="str">
        <f>VLOOKUP(C188,Tabelændringskode,2,1)</f>
        <v xml:space="preserve"> </v>
      </c>
      <c r="E188" s="178"/>
      <c r="F188" s="288">
        <v>0</v>
      </c>
      <c r="G188" s="178">
        <v>37</v>
      </c>
      <c r="H188" s="178">
        <v>37</v>
      </c>
      <c r="I188" s="178"/>
      <c r="J188" s="180"/>
      <c r="K188" s="178"/>
      <c r="L188" s="180"/>
      <c r="M188" s="180"/>
      <c r="N188" s="178"/>
      <c r="O188" s="178"/>
      <c r="P188" s="178"/>
      <c r="Q188" s="171">
        <f>AS188</f>
        <v>0</v>
      </c>
      <c r="R188" s="171">
        <f>AT188</f>
        <v>0</v>
      </c>
      <c r="S188" s="172">
        <f>AU188</f>
        <v>0</v>
      </c>
      <c r="U188" s="144">
        <f>IF(OR(C187=5,C188=5),0,1)</f>
        <v>1</v>
      </c>
      <c r="V188" s="144">
        <f t="shared" si="42"/>
        <v>0</v>
      </c>
      <c r="W188" s="144">
        <f t="shared" si="43"/>
        <v>0</v>
      </c>
      <c r="X188" s="144">
        <f t="shared" si="52"/>
        <v>0</v>
      </c>
      <c r="Y188" s="144">
        <f t="shared" si="44"/>
        <v>34.464599999999997</v>
      </c>
      <c r="Z188" s="169">
        <f t="shared" si="36"/>
        <v>0</v>
      </c>
      <c r="AA188" s="274">
        <f t="shared" si="37"/>
        <v>0</v>
      </c>
      <c r="AB188" s="169">
        <f t="shared" si="45"/>
        <v>0</v>
      </c>
      <c r="AC188" s="274">
        <f t="shared" si="38"/>
        <v>0</v>
      </c>
      <c r="AD188" s="169">
        <f t="shared" si="39"/>
        <v>0</v>
      </c>
      <c r="AE188" s="274">
        <f t="shared" si="40"/>
        <v>0</v>
      </c>
      <c r="AF188" s="169">
        <f t="shared" si="46"/>
        <v>0</v>
      </c>
      <c r="AG188" s="274">
        <f t="shared" si="41"/>
        <v>0</v>
      </c>
      <c r="AH188" s="169">
        <f t="shared" si="47"/>
        <v>0</v>
      </c>
      <c r="AI188" s="169"/>
      <c r="AJ188" s="169">
        <f t="shared" si="48"/>
        <v>0</v>
      </c>
      <c r="AK188" s="169">
        <f t="shared" si="49"/>
        <v>0</v>
      </c>
      <c r="AL188" s="169"/>
      <c r="AM188" s="169">
        <f>AK187*W187+AK188*W188</f>
        <v>0</v>
      </c>
      <c r="AN188" s="169">
        <f>(SUM(AD187:AG187)*W187+SUM(AD188:AG188)*W188)*12*VLOOKUP(C188,JNovergang,3,1)</f>
        <v>0</v>
      </c>
      <c r="AO188" s="169">
        <f>AM188-AN188</f>
        <v>0</v>
      </c>
      <c r="AP188" s="169">
        <f>M188*(100+X188)%</f>
        <v>0</v>
      </c>
      <c r="AQ188" s="274">
        <f>ROUND(M188*F188,2)</f>
        <v>0</v>
      </c>
      <c r="AS188" s="274">
        <f>ROUND((AP188+AQ188)+AM188*(N188/12),0)</f>
        <v>0</v>
      </c>
      <c r="AT188" s="274">
        <f>ROUND(AM188*(O188/12),0)</f>
        <v>0</v>
      </c>
      <c r="AU188" s="274">
        <f>ROUND(AM188*(P188/12)*U188,0)</f>
        <v>0</v>
      </c>
      <c r="AW188" s="144">
        <f t="shared" si="50"/>
        <v>0</v>
      </c>
    </row>
    <row r="189" spans="1:49" x14ac:dyDescent="0.15">
      <c r="A189" s="173"/>
      <c r="B189" s="174"/>
      <c r="C189" s="174"/>
      <c r="D189" s="165" t="str">
        <f t="shared" si="51"/>
        <v xml:space="preserve"> </v>
      </c>
      <c r="E189" s="177"/>
      <c r="F189" s="287">
        <v>0</v>
      </c>
      <c r="G189" s="177">
        <v>37</v>
      </c>
      <c r="H189" s="177">
        <v>37</v>
      </c>
      <c r="I189" s="177"/>
      <c r="J189" s="179"/>
      <c r="K189" s="177"/>
      <c r="L189" s="179"/>
      <c r="M189" s="166"/>
      <c r="N189" s="166"/>
      <c r="O189" s="166"/>
      <c r="P189" s="166"/>
      <c r="Q189" s="167"/>
      <c r="R189" s="167"/>
      <c r="S189" s="168"/>
      <c r="V189" s="144">
        <f t="shared" si="42"/>
        <v>0</v>
      </c>
      <c r="W189" s="144">
        <f t="shared" si="43"/>
        <v>0</v>
      </c>
      <c r="X189" s="144">
        <f t="shared" si="52"/>
        <v>0</v>
      </c>
      <c r="Y189" s="144">
        <f t="shared" si="44"/>
        <v>34.464599999999997</v>
      </c>
      <c r="Z189" s="169">
        <f t="shared" si="36"/>
        <v>0</v>
      </c>
      <c r="AA189" s="274">
        <f t="shared" si="37"/>
        <v>0</v>
      </c>
      <c r="AB189" s="169">
        <f t="shared" si="45"/>
        <v>0</v>
      </c>
      <c r="AC189" s="274">
        <f t="shared" si="38"/>
        <v>0</v>
      </c>
      <c r="AD189" s="169">
        <f t="shared" si="39"/>
        <v>0</v>
      </c>
      <c r="AE189" s="274">
        <f t="shared" si="40"/>
        <v>0</v>
      </c>
      <c r="AF189" s="169">
        <f t="shared" si="46"/>
        <v>0</v>
      </c>
      <c r="AG189" s="274">
        <f t="shared" si="41"/>
        <v>0</v>
      </c>
      <c r="AH189" s="169">
        <f t="shared" si="47"/>
        <v>0</v>
      </c>
      <c r="AI189" s="169"/>
      <c r="AJ189" s="169">
        <f t="shared" si="48"/>
        <v>0</v>
      </c>
      <c r="AK189" s="169">
        <f t="shared" si="49"/>
        <v>0</v>
      </c>
      <c r="AL189" s="169"/>
      <c r="AM189" s="169"/>
      <c r="AN189" s="169"/>
      <c r="AQ189" s="169"/>
      <c r="AW189" s="144">
        <f t="shared" si="50"/>
        <v>0</v>
      </c>
    </row>
    <row r="190" spans="1:49" ht="9.75" thickBot="1" x14ac:dyDescent="0.2">
      <c r="A190" s="175"/>
      <c r="B190" s="176"/>
      <c r="C190" s="176"/>
      <c r="D190" s="170" t="str">
        <f>VLOOKUP(C190,Tabelændringskode,2,1)</f>
        <v xml:space="preserve"> </v>
      </c>
      <c r="E190" s="178"/>
      <c r="F190" s="288">
        <v>0</v>
      </c>
      <c r="G190" s="178">
        <v>37</v>
      </c>
      <c r="H190" s="178">
        <v>37</v>
      </c>
      <c r="I190" s="178"/>
      <c r="J190" s="180"/>
      <c r="K190" s="178"/>
      <c r="L190" s="180"/>
      <c r="M190" s="180"/>
      <c r="N190" s="178"/>
      <c r="O190" s="178"/>
      <c r="P190" s="178"/>
      <c r="Q190" s="171">
        <f>AS190</f>
        <v>0</v>
      </c>
      <c r="R190" s="171">
        <f>AT190</f>
        <v>0</v>
      </c>
      <c r="S190" s="172">
        <f>AU190</f>
        <v>0</v>
      </c>
      <c r="U190" s="144">
        <f>IF(OR(C189=5,C190=5),0,1)</f>
        <v>1</v>
      </c>
      <c r="V190" s="144">
        <f t="shared" si="42"/>
        <v>0</v>
      </c>
      <c r="W190" s="144">
        <f t="shared" si="43"/>
        <v>0</v>
      </c>
      <c r="X190" s="144">
        <f t="shared" si="52"/>
        <v>0</v>
      </c>
      <c r="Y190" s="144">
        <f t="shared" si="44"/>
        <v>34.464599999999997</v>
      </c>
      <c r="Z190" s="169">
        <f t="shared" si="36"/>
        <v>0</v>
      </c>
      <c r="AA190" s="274">
        <f t="shared" si="37"/>
        <v>0</v>
      </c>
      <c r="AB190" s="169">
        <f t="shared" si="45"/>
        <v>0</v>
      </c>
      <c r="AC190" s="274">
        <f t="shared" si="38"/>
        <v>0</v>
      </c>
      <c r="AD190" s="169">
        <f t="shared" si="39"/>
        <v>0</v>
      </c>
      <c r="AE190" s="274">
        <f t="shared" si="40"/>
        <v>0</v>
      </c>
      <c r="AF190" s="169">
        <f t="shared" si="46"/>
        <v>0</v>
      </c>
      <c r="AG190" s="274">
        <f t="shared" si="41"/>
        <v>0</v>
      </c>
      <c r="AH190" s="169">
        <f t="shared" si="47"/>
        <v>0</v>
      </c>
      <c r="AI190" s="169"/>
      <c r="AJ190" s="169">
        <f t="shared" si="48"/>
        <v>0</v>
      </c>
      <c r="AK190" s="169">
        <f t="shared" si="49"/>
        <v>0</v>
      </c>
      <c r="AL190" s="169"/>
      <c r="AM190" s="169">
        <f>AK189*W189+AK190*W190</f>
        <v>0</v>
      </c>
      <c r="AN190" s="169">
        <f>(SUM(AD189:AG189)*W189+SUM(AD190:AG190)*W190)*12*VLOOKUP(C190,JNovergang,3,1)</f>
        <v>0</v>
      </c>
      <c r="AO190" s="169">
        <f>AM190-AN190</f>
        <v>0</v>
      </c>
      <c r="AP190" s="169">
        <f>M190*(100+X190)%</f>
        <v>0</v>
      </c>
      <c r="AQ190" s="274">
        <f>ROUND(M190*F190,2)</f>
        <v>0</v>
      </c>
      <c r="AS190" s="274">
        <f>ROUND((AP190+AQ190)+AM190*(N190/12),0)</f>
        <v>0</v>
      </c>
      <c r="AT190" s="274">
        <f>ROUND(AM190*(O190/12),0)</f>
        <v>0</v>
      </c>
      <c r="AU190" s="274">
        <f>ROUND(AM190*(P190/12)*U190,0)</f>
        <v>0</v>
      </c>
      <c r="AW190" s="144">
        <f t="shared" si="50"/>
        <v>0</v>
      </c>
    </row>
    <row r="191" spans="1:49" x14ac:dyDescent="0.15">
      <c r="A191" s="173"/>
      <c r="B191" s="174"/>
      <c r="C191" s="174"/>
      <c r="D191" s="165" t="str">
        <f t="shared" si="51"/>
        <v xml:space="preserve"> </v>
      </c>
      <c r="E191" s="177"/>
      <c r="F191" s="287">
        <v>0</v>
      </c>
      <c r="G191" s="177">
        <v>37</v>
      </c>
      <c r="H191" s="177">
        <v>37</v>
      </c>
      <c r="I191" s="177"/>
      <c r="J191" s="179"/>
      <c r="K191" s="177"/>
      <c r="L191" s="179"/>
      <c r="M191" s="166"/>
      <c r="N191" s="166"/>
      <c r="O191" s="166"/>
      <c r="P191" s="166"/>
      <c r="Q191" s="167"/>
      <c r="R191" s="167"/>
      <c r="S191" s="168"/>
      <c r="V191" s="144">
        <f t="shared" si="42"/>
        <v>0</v>
      </c>
      <c r="W191" s="144">
        <f t="shared" si="43"/>
        <v>0</v>
      </c>
      <c r="X191" s="144">
        <f t="shared" si="52"/>
        <v>0</v>
      </c>
      <c r="Y191" s="144">
        <f t="shared" si="44"/>
        <v>34.464599999999997</v>
      </c>
      <c r="Z191" s="169">
        <f t="shared" si="36"/>
        <v>0</v>
      </c>
      <c r="AA191" s="274">
        <f t="shared" si="37"/>
        <v>0</v>
      </c>
      <c r="AB191" s="169">
        <f t="shared" si="45"/>
        <v>0</v>
      </c>
      <c r="AC191" s="274">
        <f t="shared" si="38"/>
        <v>0</v>
      </c>
      <c r="AD191" s="169">
        <f t="shared" si="39"/>
        <v>0</v>
      </c>
      <c r="AE191" s="274">
        <f t="shared" si="40"/>
        <v>0</v>
      </c>
      <c r="AF191" s="169">
        <f t="shared" si="46"/>
        <v>0</v>
      </c>
      <c r="AG191" s="274">
        <f t="shared" si="41"/>
        <v>0</v>
      </c>
      <c r="AH191" s="169">
        <f t="shared" si="47"/>
        <v>0</v>
      </c>
      <c r="AI191" s="169"/>
      <c r="AJ191" s="169">
        <f t="shared" si="48"/>
        <v>0</v>
      </c>
      <c r="AK191" s="169">
        <f t="shared" si="49"/>
        <v>0</v>
      </c>
      <c r="AL191" s="169"/>
      <c r="AM191" s="169"/>
      <c r="AN191" s="169"/>
      <c r="AQ191" s="169"/>
      <c r="AW191" s="144">
        <f t="shared" si="50"/>
        <v>0</v>
      </c>
    </row>
    <row r="192" spans="1:49" ht="9.75" thickBot="1" x14ac:dyDescent="0.2">
      <c r="A192" s="175"/>
      <c r="B192" s="176"/>
      <c r="C192" s="176"/>
      <c r="D192" s="170" t="str">
        <f>VLOOKUP(C192,Tabelændringskode,2,1)</f>
        <v xml:space="preserve"> </v>
      </c>
      <c r="E192" s="178"/>
      <c r="F192" s="288">
        <v>0</v>
      </c>
      <c r="G192" s="178">
        <v>37</v>
      </c>
      <c r="H192" s="178">
        <v>37</v>
      </c>
      <c r="I192" s="178"/>
      <c r="J192" s="180"/>
      <c r="K192" s="178"/>
      <c r="L192" s="180"/>
      <c r="M192" s="180"/>
      <c r="N192" s="178"/>
      <c r="O192" s="178"/>
      <c r="P192" s="178"/>
      <c r="Q192" s="171">
        <f>AS192</f>
        <v>0</v>
      </c>
      <c r="R192" s="171">
        <f>AT192</f>
        <v>0</v>
      </c>
      <c r="S192" s="172">
        <f>AU192</f>
        <v>0</v>
      </c>
      <c r="U192" s="144">
        <f>IF(OR(C191=5,C192=5),0,1)</f>
        <v>1</v>
      </c>
      <c r="V192" s="144">
        <f t="shared" si="42"/>
        <v>0</v>
      </c>
      <c r="W192" s="144">
        <f t="shared" si="43"/>
        <v>0</v>
      </c>
      <c r="X192" s="144">
        <f t="shared" si="52"/>
        <v>0</v>
      </c>
      <c r="Y192" s="144">
        <f t="shared" si="44"/>
        <v>34.464599999999997</v>
      </c>
      <c r="Z192" s="169">
        <f t="shared" si="36"/>
        <v>0</v>
      </c>
      <c r="AA192" s="274">
        <f t="shared" si="37"/>
        <v>0</v>
      </c>
      <c r="AB192" s="169">
        <f t="shared" si="45"/>
        <v>0</v>
      </c>
      <c r="AC192" s="274">
        <f t="shared" si="38"/>
        <v>0</v>
      </c>
      <c r="AD192" s="169">
        <f t="shared" si="39"/>
        <v>0</v>
      </c>
      <c r="AE192" s="274">
        <f t="shared" si="40"/>
        <v>0</v>
      </c>
      <c r="AF192" s="169">
        <f t="shared" si="46"/>
        <v>0</v>
      </c>
      <c r="AG192" s="274">
        <f t="shared" si="41"/>
        <v>0</v>
      </c>
      <c r="AH192" s="169">
        <f t="shared" si="47"/>
        <v>0</v>
      </c>
      <c r="AI192" s="169"/>
      <c r="AJ192" s="169">
        <f t="shared" si="48"/>
        <v>0</v>
      </c>
      <c r="AK192" s="169">
        <f t="shared" si="49"/>
        <v>0</v>
      </c>
      <c r="AL192" s="169"/>
      <c r="AM192" s="169">
        <f>AK191*W191+AK192*W192</f>
        <v>0</v>
      </c>
      <c r="AN192" s="169">
        <f>(SUM(AD191:AG191)*W191+SUM(AD192:AG192)*W192)*12*VLOOKUP(C192,JNovergang,3,1)</f>
        <v>0</v>
      </c>
      <c r="AO192" s="169">
        <f>AM192-AN192</f>
        <v>0</v>
      </c>
      <c r="AP192" s="169">
        <f>M192*(100+X192)%</f>
        <v>0</v>
      </c>
      <c r="AQ192" s="274">
        <f>ROUND(M192*F192,2)</f>
        <v>0</v>
      </c>
      <c r="AS192" s="274">
        <f>ROUND((AP192+AQ192)+AM192*(N192/12),0)</f>
        <v>0</v>
      </c>
      <c r="AT192" s="274">
        <f>ROUND(AM192*(O192/12),0)</f>
        <v>0</v>
      </c>
      <c r="AU192" s="274">
        <f>ROUND(AM192*(P192/12)*U192,0)</f>
        <v>0</v>
      </c>
      <c r="AW192" s="144">
        <f t="shared" si="50"/>
        <v>0</v>
      </c>
    </row>
    <row r="193" spans="1:49" x14ac:dyDescent="0.15">
      <c r="A193" s="173"/>
      <c r="B193" s="174"/>
      <c r="C193" s="174"/>
      <c r="D193" s="165" t="str">
        <f t="shared" si="51"/>
        <v xml:space="preserve"> </v>
      </c>
      <c r="E193" s="177"/>
      <c r="F193" s="287">
        <v>0</v>
      </c>
      <c r="G193" s="177">
        <v>37</v>
      </c>
      <c r="H193" s="177">
        <v>37</v>
      </c>
      <c r="I193" s="177"/>
      <c r="J193" s="179"/>
      <c r="K193" s="177"/>
      <c r="L193" s="179"/>
      <c r="M193" s="166"/>
      <c r="N193" s="166"/>
      <c r="O193" s="166"/>
      <c r="P193" s="166"/>
      <c r="Q193" s="167"/>
      <c r="R193" s="167"/>
      <c r="S193" s="168"/>
      <c r="V193" s="144">
        <f t="shared" si="42"/>
        <v>0</v>
      </c>
      <c r="W193" s="144">
        <f t="shared" si="43"/>
        <v>0</v>
      </c>
      <c r="X193" s="144">
        <f t="shared" si="52"/>
        <v>0</v>
      </c>
      <c r="Y193" s="144">
        <f t="shared" si="44"/>
        <v>34.464599999999997</v>
      </c>
      <c r="Z193" s="169">
        <f t="shared" si="36"/>
        <v>0</v>
      </c>
      <c r="AA193" s="274">
        <f t="shared" si="37"/>
        <v>0</v>
      </c>
      <c r="AB193" s="169">
        <f t="shared" si="45"/>
        <v>0</v>
      </c>
      <c r="AC193" s="274">
        <f t="shared" si="38"/>
        <v>0</v>
      </c>
      <c r="AD193" s="169">
        <f t="shared" si="39"/>
        <v>0</v>
      </c>
      <c r="AE193" s="274">
        <f t="shared" si="40"/>
        <v>0</v>
      </c>
      <c r="AF193" s="169">
        <f t="shared" si="46"/>
        <v>0</v>
      </c>
      <c r="AG193" s="274">
        <f t="shared" si="41"/>
        <v>0</v>
      </c>
      <c r="AH193" s="169">
        <f t="shared" si="47"/>
        <v>0</v>
      </c>
      <c r="AI193" s="169"/>
      <c r="AJ193" s="169">
        <f t="shared" si="48"/>
        <v>0</v>
      </c>
      <c r="AK193" s="169">
        <f t="shared" si="49"/>
        <v>0</v>
      </c>
      <c r="AL193" s="169"/>
      <c r="AM193" s="169"/>
      <c r="AN193" s="169"/>
      <c r="AQ193" s="169"/>
      <c r="AW193" s="144">
        <f t="shared" si="50"/>
        <v>0</v>
      </c>
    </row>
    <row r="194" spans="1:49" ht="9.75" thickBot="1" x14ac:dyDescent="0.2">
      <c r="A194" s="175"/>
      <c r="B194" s="176"/>
      <c r="C194" s="176"/>
      <c r="D194" s="170" t="str">
        <f>VLOOKUP(C194,Tabelændringskode,2,1)</f>
        <v xml:space="preserve"> </v>
      </c>
      <c r="E194" s="178"/>
      <c r="F194" s="288">
        <v>0</v>
      </c>
      <c r="G194" s="178">
        <v>37</v>
      </c>
      <c r="H194" s="178">
        <v>37</v>
      </c>
      <c r="I194" s="178"/>
      <c r="J194" s="180"/>
      <c r="K194" s="178"/>
      <c r="L194" s="180"/>
      <c r="M194" s="180"/>
      <c r="N194" s="178"/>
      <c r="O194" s="178"/>
      <c r="P194" s="178"/>
      <c r="Q194" s="171">
        <f>AS194</f>
        <v>0</v>
      </c>
      <c r="R194" s="171">
        <f>AT194</f>
        <v>0</v>
      </c>
      <c r="S194" s="172">
        <f>AU194</f>
        <v>0</v>
      </c>
      <c r="U194" s="144">
        <f>IF(OR(C193=5,C194=5),0,1)</f>
        <v>1</v>
      </c>
      <c r="V194" s="144">
        <f t="shared" si="42"/>
        <v>0</v>
      </c>
      <c r="W194" s="144">
        <f t="shared" si="43"/>
        <v>0</v>
      </c>
      <c r="X194" s="144">
        <f t="shared" si="52"/>
        <v>0</v>
      </c>
      <c r="Y194" s="144">
        <f t="shared" si="44"/>
        <v>34.464599999999997</v>
      </c>
      <c r="Z194" s="169">
        <f t="shared" si="36"/>
        <v>0</v>
      </c>
      <c r="AA194" s="274">
        <f t="shared" si="37"/>
        <v>0</v>
      </c>
      <c r="AB194" s="169">
        <f t="shared" si="45"/>
        <v>0</v>
      </c>
      <c r="AC194" s="274">
        <f t="shared" si="38"/>
        <v>0</v>
      </c>
      <c r="AD194" s="169">
        <f t="shared" si="39"/>
        <v>0</v>
      </c>
      <c r="AE194" s="274">
        <f t="shared" si="40"/>
        <v>0</v>
      </c>
      <c r="AF194" s="169">
        <f t="shared" si="46"/>
        <v>0</v>
      </c>
      <c r="AG194" s="274">
        <f t="shared" si="41"/>
        <v>0</v>
      </c>
      <c r="AH194" s="169">
        <f t="shared" si="47"/>
        <v>0</v>
      </c>
      <c r="AI194" s="169"/>
      <c r="AJ194" s="169">
        <f t="shared" si="48"/>
        <v>0</v>
      </c>
      <c r="AK194" s="169">
        <f t="shared" si="49"/>
        <v>0</v>
      </c>
      <c r="AL194" s="169"/>
      <c r="AM194" s="169">
        <f>AK193*W193+AK194*W194</f>
        <v>0</v>
      </c>
      <c r="AN194" s="169">
        <f>(SUM(AD193:AG193)*W193+SUM(AD194:AG194)*W194)*12*VLOOKUP(C194,JNovergang,3,1)</f>
        <v>0</v>
      </c>
      <c r="AO194" s="169">
        <f>AM194-AN194</f>
        <v>0</v>
      </c>
      <c r="AP194" s="169">
        <f>M194*(100+X194)%</f>
        <v>0</v>
      </c>
      <c r="AQ194" s="274">
        <f>ROUND(M194*F194,2)</f>
        <v>0</v>
      </c>
      <c r="AS194" s="274">
        <f>ROUND((AP194+AQ194)+AM194*(N194/12),0)</f>
        <v>0</v>
      </c>
      <c r="AT194" s="274">
        <f>ROUND(AM194*(O194/12),0)</f>
        <v>0</v>
      </c>
      <c r="AU194" s="274">
        <f>ROUND(AM194*(P194/12)*U194,0)</f>
        <v>0</v>
      </c>
      <c r="AW194" s="144">
        <f t="shared" si="50"/>
        <v>0</v>
      </c>
    </row>
    <row r="195" spans="1:49" x14ac:dyDescent="0.15">
      <c r="A195" s="173"/>
      <c r="B195" s="174"/>
      <c r="C195" s="174"/>
      <c r="D195" s="165" t="str">
        <f t="shared" si="51"/>
        <v xml:space="preserve"> </v>
      </c>
      <c r="E195" s="177"/>
      <c r="F195" s="287">
        <v>0</v>
      </c>
      <c r="G195" s="177">
        <v>37</v>
      </c>
      <c r="H195" s="177">
        <v>37</v>
      </c>
      <c r="I195" s="177"/>
      <c r="J195" s="179"/>
      <c r="K195" s="177"/>
      <c r="L195" s="179"/>
      <c r="M195" s="166"/>
      <c r="N195" s="166"/>
      <c r="O195" s="166"/>
      <c r="P195" s="166"/>
      <c r="Q195" s="167"/>
      <c r="R195" s="167"/>
      <c r="S195" s="168"/>
      <c r="V195" s="144">
        <f t="shared" si="42"/>
        <v>0</v>
      </c>
      <c r="W195" s="144">
        <f t="shared" si="43"/>
        <v>0</v>
      </c>
      <c r="X195" s="144">
        <f t="shared" si="52"/>
        <v>0</v>
      </c>
      <c r="Y195" s="144">
        <f t="shared" si="44"/>
        <v>34.464599999999997</v>
      </c>
      <c r="Z195" s="169">
        <f t="shared" si="36"/>
        <v>0</v>
      </c>
      <c r="AA195" s="274">
        <f t="shared" si="37"/>
        <v>0</v>
      </c>
      <c r="AB195" s="169">
        <f t="shared" si="45"/>
        <v>0</v>
      </c>
      <c r="AC195" s="274">
        <f t="shared" si="38"/>
        <v>0</v>
      </c>
      <c r="AD195" s="169">
        <f t="shared" si="39"/>
        <v>0</v>
      </c>
      <c r="AE195" s="274">
        <f t="shared" si="40"/>
        <v>0</v>
      </c>
      <c r="AF195" s="169">
        <f t="shared" si="46"/>
        <v>0</v>
      </c>
      <c r="AG195" s="274">
        <f t="shared" si="41"/>
        <v>0</v>
      </c>
      <c r="AH195" s="169">
        <f t="shared" si="47"/>
        <v>0</v>
      </c>
      <c r="AI195" s="169"/>
      <c r="AJ195" s="169">
        <f t="shared" si="48"/>
        <v>0</v>
      </c>
      <c r="AK195" s="169">
        <f t="shared" si="49"/>
        <v>0</v>
      </c>
      <c r="AL195" s="169"/>
      <c r="AM195" s="169"/>
      <c r="AN195" s="169"/>
      <c r="AQ195" s="169"/>
      <c r="AW195" s="144">
        <f t="shared" si="50"/>
        <v>0</v>
      </c>
    </row>
    <row r="196" spans="1:49" ht="9.75" thickBot="1" x14ac:dyDescent="0.2">
      <c r="A196" s="175"/>
      <c r="B196" s="176"/>
      <c r="C196" s="176"/>
      <c r="D196" s="170" t="str">
        <f>VLOOKUP(C196,Tabelændringskode,2,1)</f>
        <v xml:space="preserve"> </v>
      </c>
      <c r="E196" s="178"/>
      <c r="F196" s="288">
        <v>0</v>
      </c>
      <c r="G196" s="178">
        <v>37</v>
      </c>
      <c r="H196" s="178">
        <v>37</v>
      </c>
      <c r="I196" s="178"/>
      <c r="J196" s="180"/>
      <c r="K196" s="178"/>
      <c r="L196" s="180"/>
      <c r="M196" s="180"/>
      <c r="N196" s="178"/>
      <c r="O196" s="178"/>
      <c r="P196" s="178"/>
      <c r="Q196" s="171">
        <f>AS196</f>
        <v>0</v>
      </c>
      <c r="R196" s="171">
        <f>AT196</f>
        <v>0</v>
      </c>
      <c r="S196" s="172">
        <f>AU196</f>
        <v>0</v>
      </c>
      <c r="U196" s="144">
        <f>IF(OR(C195=5,C196=5),0,1)</f>
        <v>1</v>
      </c>
      <c r="V196" s="144">
        <f t="shared" si="42"/>
        <v>0</v>
      </c>
      <c r="W196" s="144">
        <f t="shared" si="43"/>
        <v>0</v>
      </c>
      <c r="X196" s="144">
        <f t="shared" si="52"/>
        <v>0</v>
      </c>
      <c r="Y196" s="144">
        <f t="shared" si="44"/>
        <v>34.464599999999997</v>
      </c>
      <c r="Z196" s="169">
        <f t="shared" si="36"/>
        <v>0</v>
      </c>
      <c r="AA196" s="274">
        <f t="shared" si="37"/>
        <v>0</v>
      </c>
      <c r="AB196" s="169">
        <f t="shared" si="45"/>
        <v>0</v>
      </c>
      <c r="AC196" s="274">
        <f t="shared" si="38"/>
        <v>0</v>
      </c>
      <c r="AD196" s="169">
        <f t="shared" si="39"/>
        <v>0</v>
      </c>
      <c r="AE196" s="274">
        <f t="shared" si="40"/>
        <v>0</v>
      </c>
      <c r="AF196" s="169">
        <f t="shared" si="46"/>
        <v>0</v>
      </c>
      <c r="AG196" s="274">
        <f t="shared" si="41"/>
        <v>0</v>
      </c>
      <c r="AH196" s="169">
        <f t="shared" si="47"/>
        <v>0</v>
      </c>
      <c r="AI196" s="169"/>
      <c r="AJ196" s="169">
        <f t="shared" si="48"/>
        <v>0</v>
      </c>
      <c r="AK196" s="169">
        <f t="shared" si="49"/>
        <v>0</v>
      </c>
      <c r="AL196" s="169"/>
      <c r="AM196" s="169">
        <f>AK195*W195+AK196*W196</f>
        <v>0</v>
      </c>
      <c r="AN196" s="169">
        <f>(SUM(AD195:AG195)*W195+SUM(AD196:AG196)*W196)*12*VLOOKUP(C196,JNovergang,3,1)</f>
        <v>0</v>
      </c>
      <c r="AO196" s="169">
        <f>AM196-AN196</f>
        <v>0</v>
      </c>
      <c r="AP196" s="169">
        <f>M196*(100+X196)%</f>
        <v>0</v>
      </c>
      <c r="AQ196" s="274">
        <f>ROUND(M196*F196,2)</f>
        <v>0</v>
      </c>
      <c r="AS196" s="274">
        <f>ROUND((AP196+AQ196)+AM196*(N196/12),0)</f>
        <v>0</v>
      </c>
      <c r="AT196" s="274">
        <f>ROUND(AM196*(O196/12),0)</f>
        <v>0</v>
      </c>
      <c r="AU196" s="274">
        <f>ROUND(AM196*(P196/12)*U196,0)</f>
        <v>0</v>
      </c>
      <c r="AW196" s="144">
        <f t="shared" si="50"/>
        <v>0</v>
      </c>
    </row>
    <row r="197" spans="1:49" x14ac:dyDescent="0.15">
      <c r="A197" s="173"/>
      <c r="B197" s="174"/>
      <c r="C197" s="174"/>
      <c r="D197" s="165" t="str">
        <f t="shared" ref="D197:D259" si="53">VLOOKUP(C197,Tabelændringskode,2,1)</f>
        <v xml:space="preserve"> </v>
      </c>
      <c r="E197" s="177"/>
      <c r="F197" s="287">
        <v>0</v>
      </c>
      <c r="G197" s="177">
        <v>37</v>
      </c>
      <c r="H197" s="177">
        <v>37</v>
      </c>
      <c r="I197" s="177"/>
      <c r="J197" s="179"/>
      <c r="K197" s="177"/>
      <c r="L197" s="179"/>
      <c r="M197" s="166"/>
      <c r="N197" s="166"/>
      <c r="O197" s="166"/>
      <c r="P197" s="166"/>
      <c r="Q197" s="167"/>
      <c r="R197" s="167"/>
      <c r="S197" s="168"/>
      <c r="V197" s="144">
        <f t="shared" si="42"/>
        <v>0</v>
      </c>
      <c r="W197" s="144">
        <f t="shared" si="43"/>
        <v>0</v>
      </c>
      <c r="X197" s="144">
        <f t="shared" si="52"/>
        <v>0</v>
      </c>
      <c r="Y197" s="144">
        <f t="shared" si="44"/>
        <v>34.464599999999997</v>
      </c>
      <c r="Z197" s="169">
        <f t="shared" si="36"/>
        <v>0</v>
      </c>
      <c r="AA197" s="274">
        <f t="shared" si="37"/>
        <v>0</v>
      </c>
      <c r="AB197" s="169">
        <f t="shared" si="45"/>
        <v>0</v>
      </c>
      <c r="AC197" s="274">
        <f t="shared" si="38"/>
        <v>0</v>
      </c>
      <c r="AD197" s="169">
        <f t="shared" si="39"/>
        <v>0</v>
      </c>
      <c r="AE197" s="274">
        <f t="shared" si="40"/>
        <v>0</v>
      </c>
      <c r="AF197" s="169">
        <f t="shared" si="46"/>
        <v>0</v>
      </c>
      <c r="AG197" s="274">
        <f t="shared" si="41"/>
        <v>0</v>
      </c>
      <c r="AH197" s="169">
        <f t="shared" si="47"/>
        <v>0</v>
      </c>
      <c r="AI197" s="169"/>
      <c r="AJ197" s="169">
        <f t="shared" si="48"/>
        <v>0</v>
      </c>
      <c r="AK197" s="169">
        <f t="shared" si="49"/>
        <v>0</v>
      </c>
      <c r="AL197" s="169"/>
      <c r="AM197" s="169"/>
      <c r="AN197" s="169"/>
      <c r="AQ197" s="169"/>
      <c r="AW197" s="144">
        <f t="shared" si="50"/>
        <v>0</v>
      </c>
    </row>
    <row r="198" spans="1:49" ht="9.75" thickBot="1" x14ac:dyDescent="0.2">
      <c r="A198" s="175"/>
      <c r="B198" s="176"/>
      <c r="C198" s="176"/>
      <c r="D198" s="170" t="str">
        <f t="shared" si="53"/>
        <v xml:space="preserve"> </v>
      </c>
      <c r="E198" s="178"/>
      <c r="F198" s="288">
        <v>0</v>
      </c>
      <c r="G198" s="178">
        <v>37</v>
      </c>
      <c r="H198" s="178">
        <v>37</v>
      </c>
      <c r="I198" s="178"/>
      <c r="J198" s="180"/>
      <c r="K198" s="178"/>
      <c r="L198" s="180"/>
      <c r="M198" s="180"/>
      <c r="N198" s="178"/>
      <c r="O198" s="178"/>
      <c r="P198" s="178"/>
      <c r="Q198" s="171">
        <f>AS198</f>
        <v>0</v>
      </c>
      <c r="R198" s="171">
        <f>AT198</f>
        <v>0</v>
      </c>
      <c r="S198" s="172">
        <f>AU198</f>
        <v>0</v>
      </c>
      <c r="U198" s="144">
        <f>IF(OR(C197=5,C198=5),0,1)</f>
        <v>1</v>
      </c>
      <c r="V198" s="144">
        <f t="shared" si="42"/>
        <v>0</v>
      </c>
      <c r="W198" s="144">
        <f t="shared" si="43"/>
        <v>0</v>
      </c>
      <c r="X198" s="144">
        <f t="shared" si="52"/>
        <v>0</v>
      </c>
      <c r="Y198" s="144">
        <f t="shared" si="44"/>
        <v>34.464599999999997</v>
      </c>
      <c r="Z198" s="169">
        <f t="shared" si="36"/>
        <v>0</v>
      </c>
      <c r="AA198" s="274">
        <f t="shared" si="37"/>
        <v>0</v>
      </c>
      <c r="AB198" s="169">
        <f t="shared" si="45"/>
        <v>0</v>
      </c>
      <c r="AC198" s="274">
        <f t="shared" si="38"/>
        <v>0</v>
      </c>
      <c r="AD198" s="169">
        <f t="shared" si="39"/>
        <v>0</v>
      </c>
      <c r="AE198" s="274">
        <f t="shared" si="40"/>
        <v>0</v>
      </c>
      <c r="AF198" s="169">
        <f t="shared" si="46"/>
        <v>0</v>
      </c>
      <c r="AG198" s="274">
        <f t="shared" si="41"/>
        <v>0</v>
      </c>
      <c r="AH198" s="169">
        <f t="shared" si="47"/>
        <v>0</v>
      </c>
      <c r="AI198" s="169"/>
      <c r="AJ198" s="169">
        <f t="shared" si="48"/>
        <v>0</v>
      </c>
      <c r="AK198" s="169">
        <f t="shared" si="49"/>
        <v>0</v>
      </c>
      <c r="AL198" s="169"/>
      <c r="AM198" s="169">
        <f>AK197*W197+AK198*W198</f>
        <v>0</v>
      </c>
      <c r="AN198" s="169">
        <f>(SUM(AD197:AG197)*W197+SUM(AD198:AG198)*W198)*12*VLOOKUP(C198,JNovergang,3,1)</f>
        <v>0</v>
      </c>
      <c r="AO198" s="169">
        <f>AM198-AN198</f>
        <v>0</v>
      </c>
      <c r="AP198" s="169">
        <f>M198*(100+X198)%</f>
        <v>0</v>
      </c>
      <c r="AQ198" s="274">
        <f>ROUND(M198*F198,2)</f>
        <v>0</v>
      </c>
      <c r="AS198" s="274">
        <f>ROUND((AP198+AQ198)+AM198*(N198/12),0)</f>
        <v>0</v>
      </c>
      <c r="AT198" s="274">
        <f>ROUND(AM198*(O198/12),0)</f>
        <v>0</v>
      </c>
      <c r="AU198" s="274">
        <f>ROUND(AM198*(P198/12)*U198,0)</f>
        <v>0</v>
      </c>
      <c r="AW198" s="144">
        <f t="shared" si="50"/>
        <v>0</v>
      </c>
    </row>
    <row r="199" spans="1:49" x14ac:dyDescent="0.15">
      <c r="A199" s="173"/>
      <c r="B199" s="174"/>
      <c r="C199" s="174"/>
      <c r="D199" s="165" t="str">
        <f t="shared" si="53"/>
        <v xml:space="preserve"> </v>
      </c>
      <c r="E199" s="177"/>
      <c r="F199" s="287">
        <v>0</v>
      </c>
      <c r="G199" s="177">
        <v>37</v>
      </c>
      <c r="H199" s="177">
        <v>37</v>
      </c>
      <c r="I199" s="177"/>
      <c r="J199" s="179"/>
      <c r="K199" s="177"/>
      <c r="L199" s="179"/>
      <c r="M199" s="166"/>
      <c r="N199" s="166"/>
      <c r="O199" s="166"/>
      <c r="P199" s="166"/>
      <c r="Q199" s="167"/>
      <c r="R199" s="167"/>
      <c r="S199" s="168"/>
      <c r="V199" s="144">
        <f t="shared" si="42"/>
        <v>0</v>
      </c>
      <c r="W199" s="144">
        <f t="shared" si="43"/>
        <v>0</v>
      </c>
      <c r="X199" s="144">
        <f t="shared" si="52"/>
        <v>0</v>
      </c>
      <c r="Y199" s="144">
        <f t="shared" si="44"/>
        <v>34.464599999999997</v>
      </c>
      <c r="Z199" s="169">
        <f t="shared" si="36"/>
        <v>0</v>
      </c>
      <c r="AA199" s="274">
        <f t="shared" si="37"/>
        <v>0</v>
      </c>
      <c r="AB199" s="169">
        <f t="shared" si="45"/>
        <v>0</v>
      </c>
      <c r="AC199" s="274">
        <f t="shared" si="38"/>
        <v>0</v>
      </c>
      <c r="AD199" s="169">
        <f t="shared" si="39"/>
        <v>0</v>
      </c>
      <c r="AE199" s="274">
        <f t="shared" si="40"/>
        <v>0</v>
      </c>
      <c r="AF199" s="169">
        <f t="shared" si="46"/>
        <v>0</v>
      </c>
      <c r="AG199" s="274">
        <f t="shared" si="41"/>
        <v>0</v>
      </c>
      <c r="AH199" s="169">
        <f t="shared" si="47"/>
        <v>0</v>
      </c>
      <c r="AI199" s="169"/>
      <c r="AJ199" s="169">
        <f t="shared" si="48"/>
        <v>0</v>
      </c>
      <c r="AK199" s="169">
        <f t="shared" si="49"/>
        <v>0</v>
      </c>
      <c r="AL199" s="169"/>
      <c r="AM199" s="169"/>
      <c r="AN199" s="169"/>
      <c r="AQ199" s="169"/>
      <c r="AW199" s="144">
        <f t="shared" si="50"/>
        <v>0</v>
      </c>
    </row>
    <row r="200" spans="1:49" ht="9.75" thickBot="1" x14ac:dyDescent="0.2">
      <c r="A200" s="175"/>
      <c r="B200" s="176"/>
      <c r="C200" s="176"/>
      <c r="D200" s="170" t="str">
        <f t="shared" si="53"/>
        <v xml:space="preserve"> </v>
      </c>
      <c r="E200" s="178"/>
      <c r="F200" s="288">
        <v>0</v>
      </c>
      <c r="G200" s="178">
        <v>37</v>
      </c>
      <c r="H200" s="178">
        <v>37</v>
      </c>
      <c r="I200" s="178"/>
      <c r="J200" s="180"/>
      <c r="K200" s="178"/>
      <c r="L200" s="180"/>
      <c r="M200" s="180"/>
      <c r="N200" s="178"/>
      <c r="O200" s="178"/>
      <c r="P200" s="178"/>
      <c r="Q200" s="171">
        <f>AS200</f>
        <v>0</v>
      </c>
      <c r="R200" s="171">
        <f>AT200</f>
        <v>0</v>
      </c>
      <c r="S200" s="172">
        <f>AU200</f>
        <v>0</v>
      </c>
      <c r="U200" s="144">
        <f>IF(OR(C199=5,C200=5),0,1)</f>
        <v>1</v>
      </c>
      <c r="V200" s="144">
        <f t="shared" si="42"/>
        <v>0</v>
      </c>
      <c r="W200" s="144">
        <f t="shared" si="43"/>
        <v>0</v>
      </c>
      <c r="X200" s="144">
        <f t="shared" si="52"/>
        <v>0</v>
      </c>
      <c r="Y200" s="144">
        <f t="shared" si="44"/>
        <v>34.464599999999997</v>
      </c>
      <c r="Z200" s="169">
        <f t="shared" si="36"/>
        <v>0</v>
      </c>
      <c r="AA200" s="274">
        <f t="shared" si="37"/>
        <v>0</v>
      </c>
      <c r="AB200" s="169">
        <f t="shared" si="45"/>
        <v>0</v>
      </c>
      <c r="AC200" s="274">
        <f t="shared" si="38"/>
        <v>0</v>
      </c>
      <c r="AD200" s="169">
        <f t="shared" si="39"/>
        <v>0</v>
      </c>
      <c r="AE200" s="274">
        <f t="shared" si="40"/>
        <v>0</v>
      </c>
      <c r="AF200" s="169">
        <f t="shared" si="46"/>
        <v>0</v>
      </c>
      <c r="AG200" s="274">
        <f t="shared" si="41"/>
        <v>0</v>
      </c>
      <c r="AH200" s="169">
        <f t="shared" si="47"/>
        <v>0</v>
      </c>
      <c r="AI200" s="169"/>
      <c r="AJ200" s="169">
        <f t="shared" si="48"/>
        <v>0</v>
      </c>
      <c r="AK200" s="169">
        <f t="shared" si="49"/>
        <v>0</v>
      </c>
      <c r="AL200" s="169"/>
      <c r="AM200" s="169">
        <f>AK199*W199+AK200*W200</f>
        <v>0</v>
      </c>
      <c r="AN200" s="169">
        <f>(SUM(AD199:AG199)*W199+SUM(AD200:AG200)*W200)*12*VLOOKUP(C200,JNovergang,3,1)</f>
        <v>0</v>
      </c>
      <c r="AO200" s="169">
        <f>AM200-AN200</f>
        <v>0</v>
      </c>
      <c r="AP200" s="169">
        <f>M200*(100+X200)%</f>
        <v>0</v>
      </c>
      <c r="AQ200" s="274">
        <f>ROUND(M200*F200,2)</f>
        <v>0</v>
      </c>
      <c r="AS200" s="274">
        <f>ROUND((AP200+AQ200)+AM200*(N200/12),0)</f>
        <v>0</v>
      </c>
      <c r="AT200" s="274">
        <f>ROUND(AM200*(O200/12),0)</f>
        <v>0</v>
      </c>
      <c r="AU200" s="274">
        <f>ROUND(AM200*(P200/12)*U200,0)</f>
        <v>0</v>
      </c>
      <c r="AW200" s="144">
        <f t="shared" si="50"/>
        <v>0</v>
      </c>
    </row>
    <row r="201" spans="1:49" x14ac:dyDescent="0.15">
      <c r="A201" s="173"/>
      <c r="B201" s="174"/>
      <c r="C201" s="174"/>
      <c r="D201" s="165" t="str">
        <f t="shared" si="53"/>
        <v xml:space="preserve"> </v>
      </c>
      <c r="E201" s="177"/>
      <c r="F201" s="287">
        <v>0</v>
      </c>
      <c r="G201" s="177">
        <v>37</v>
      </c>
      <c r="H201" s="177">
        <v>37</v>
      </c>
      <c r="I201" s="177"/>
      <c r="J201" s="179"/>
      <c r="K201" s="177"/>
      <c r="L201" s="179"/>
      <c r="M201" s="166"/>
      <c r="N201" s="166"/>
      <c r="O201" s="166"/>
      <c r="P201" s="166"/>
      <c r="Q201" s="167"/>
      <c r="R201" s="167"/>
      <c r="S201" s="168"/>
      <c r="V201" s="144">
        <f t="shared" si="42"/>
        <v>0</v>
      </c>
      <c r="W201" s="144">
        <f t="shared" si="43"/>
        <v>0</v>
      </c>
      <c r="X201" s="144">
        <f t="shared" si="52"/>
        <v>0</v>
      </c>
      <c r="Y201" s="144">
        <f t="shared" si="44"/>
        <v>34.464599999999997</v>
      </c>
      <c r="Z201" s="169">
        <f t="shared" si="36"/>
        <v>0</v>
      </c>
      <c r="AA201" s="274">
        <f t="shared" si="37"/>
        <v>0</v>
      </c>
      <c r="AB201" s="169">
        <f t="shared" si="45"/>
        <v>0</v>
      </c>
      <c r="AC201" s="274">
        <f t="shared" si="38"/>
        <v>0</v>
      </c>
      <c r="AD201" s="169">
        <f t="shared" si="39"/>
        <v>0</v>
      </c>
      <c r="AE201" s="274">
        <f t="shared" si="40"/>
        <v>0</v>
      </c>
      <c r="AF201" s="169">
        <f t="shared" si="46"/>
        <v>0</v>
      </c>
      <c r="AG201" s="274">
        <f t="shared" si="41"/>
        <v>0</v>
      </c>
      <c r="AH201" s="169">
        <f t="shared" si="47"/>
        <v>0</v>
      </c>
      <c r="AI201" s="169"/>
      <c r="AJ201" s="169">
        <f t="shared" si="48"/>
        <v>0</v>
      </c>
      <c r="AK201" s="169">
        <f t="shared" si="49"/>
        <v>0</v>
      </c>
      <c r="AL201" s="169"/>
      <c r="AM201" s="169"/>
      <c r="AN201" s="169"/>
      <c r="AQ201" s="169"/>
      <c r="AW201" s="144">
        <f t="shared" si="50"/>
        <v>0</v>
      </c>
    </row>
    <row r="202" spans="1:49" ht="9.75" thickBot="1" x14ac:dyDescent="0.2">
      <c r="A202" s="175"/>
      <c r="B202" s="176"/>
      <c r="C202" s="176"/>
      <c r="D202" s="170" t="str">
        <f t="shared" si="53"/>
        <v xml:space="preserve"> </v>
      </c>
      <c r="E202" s="178"/>
      <c r="F202" s="288">
        <v>0</v>
      </c>
      <c r="G202" s="178">
        <v>37</v>
      </c>
      <c r="H202" s="178">
        <v>37</v>
      </c>
      <c r="I202" s="178"/>
      <c r="J202" s="180"/>
      <c r="K202" s="178"/>
      <c r="L202" s="180"/>
      <c r="M202" s="180"/>
      <c r="N202" s="178"/>
      <c r="O202" s="178"/>
      <c r="P202" s="178"/>
      <c r="Q202" s="171">
        <f>AS202</f>
        <v>0</v>
      </c>
      <c r="R202" s="171">
        <f>AT202</f>
        <v>0</v>
      </c>
      <c r="S202" s="172">
        <f>AU202</f>
        <v>0</v>
      </c>
      <c r="U202" s="144">
        <f>IF(OR(C201=5,C202=5),0,1)</f>
        <v>1</v>
      </c>
      <c r="V202" s="144">
        <f t="shared" si="42"/>
        <v>0</v>
      </c>
      <c r="W202" s="144">
        <f t="shared" si="43"/>
        <v>0</v>
      </c>
      <c r="X202" s="144">
        <f t="shared" si="52"/>
        <v>0</v>
      </c>
      <c r="Y202" s="144">
        <f t="shared" si="44"/>
        <v>34.464599999999997</v>
      </c>
      <c r="Z202" s="169">
        <f t="shared" si="36"/>
        <v>0</v>
      </c>
      <c r="AA202" s="274">
        <f t="shared" si="37"/>
        <v>0</v>
      </c>
      <c r="AB202" s="169">
        <f t="shared" si="45"/>
        <v>0</v>
      </c>
      <c r="AC202" s="274">
        <f t="shared" si="38"/>
        <v>0</v>
      </c>
      <c r="AD202" s="169">
        <f t="shared" si="39"/>
        <v>0</v>
      </c>
      <c r="AE202" s="274">
        <f t="shared" si="40"/>
        <v>0</v>
      </c>
      <c r="AF202" s="169">
        <f t="shared" si="46"/>
        <v>0</v>
      </c>
      <c r="AG202" s="274">
        <f t="shared" si="41"/>
        <v>0</v>
      </c>
      <c r="AH202" s="169">
        <f t="shared" si="47"/>
        <v>0</v>
      </c>
      <c r="AI202" s="169"/>
      <c r="AJ202" s="169">
        <f t="shared" si="48"/>
        <v>0</v>
      </c>
      <c r="AK202" s="169">
        <f t="shared" si="49"/>
        <v>0</v>
      </c>
      <c r="AL202" s="169"/>
      <c r="AM202" s="169">
        <f>AK201*W201+AK202*W202</f>
        <v>0</v>
      </c>
      <c r="AN202" s="169">
        <f>(SUM(AD201:AG201)*W201+SUM(AD202:AG202)*W202)*12*VLOOKUP(C202,JNovergang,3,1)</f>
        <v>0</v>
      </c>
      <c r="AO202" s="169">
        <f>AM202-AN202</f>
        <v>0</v>
      </c>
      <c r="AP202" s="169">
        <f>M202*(100+X202)%</f>
        <v>0</v>
      </c>
      <c r="AQ202" s="274">
        <f>ROUND(M202*F202,2)</f>
        <v>0</v>
      </c>
      <c r="AS202" s="274">
        <f>ROUND((AP202+AQ202)+AM202*(N202/12),0)</f>
        <v>0</v>
      </c>
      <c r="AT202" s="274">
        <f>ROUND(AM202*(O202/12),0)</f>
        <v>0</v>
      </c>
      <c r="AU202" s="274">
        <f>ROUND(AM202*(P202/12)*U202,0)</f>
        <v>0</v>
      </c>
      <c r="AW202" s="144">
        <f t="shared" si="50"/>
        <v>0</v>
      </c>
    </row>
    <row r="203" spans="1:49" x14ac:dyDescent="0.15">
      <c r="A203" s="173"/>
      <c r="B203" s="174"/>
      <c r="C203" s="174"/>
      <c r="D203" s="165" t="str">
        <f t="shared" si="53"/>
        <v xml:space="preserve"> </v>
      </c>
      <c r="E203" s="177"/>
      <c r="F203" s="287">
        <v>0</v>
      </c>
      <c r="G203" s="177">
        <v>37</v>
      </c>
      <c r="H203" s="177">
        <v>37</v>
      </c>
      <c r="I203" s="177"/>
      <c r="J203" s="179"/>
      <c r="K203" s="177"/>
      <c r="L203" s="179"/>
      <c r="M203" s="166"/>
      <c r="N203" s="166"/>
      <c r="O203" s="166"/>
      <c r="P203" s="166"/>
      <c r="Q203" s="167"/>
      <c r="R203" s="167"/>
      <c r="S203" s="168"/>
      <c r="V203" s="144">
        <f t="shared" si="42"/>
        <v>0</v>
      </c>
      <c r="W203" s="144">
        <f t="shared" si="43"/>
        <v>0</v>
      </c>
      <c r="X203" s="144">
        <f t="shared" si="52"/>
        <v>0</v>
      </c>
      <c r="Y203" s="144">
        <f t="shared" si="44"/>
        <v>34.464599999999997</v>
      </c>
      <c r="Z203" s="169">
        <f t="shared" si="36"/>
        <v>0</v>
      </c>
      <c r="AA203" s="274">
        <f t="shared" si="37"/>
        <v>0</v>
      </c>
      <c r="AB203" s="169">
        <f t="shared" si="45"/>
        <v>0</v>
      </c>
      <c r="AC203" s="274">
        <f t="shared" si="38"/>
        <v>0</v>
      </c>
      <c r="AD203" s="169">
        <f t="shared" si="39"/>
        <v>0</v>
      </c>
      <c r="AE203" s="274">
        <f t="shared" si="40"/>
        <v>0</v>
      </c>
      <c r="AF203" s="169">
        <f t="shared" si="46"/>
        <v>0</v>
      </c>
      <c r="AG203" s="274">
        <f t="shared" si="41"/>
        <v>0</v>
      </c>
      <c r="AH203" s="169">
        <f t="shared" si="47"/>
        <v>0</v>
      </c>
      <c r="AI203" s="169"/>
      <c r="AJ203" s="169">
        <f t="shared" si="48"/>
        <v>0</v>
      </c>
      <c r="AK203" s="169">
        <f t="shared" si="49"/>
        <v>0</v>
      </c>
      <c r="AL203" s="169"/>
      <c r="AM203" s="169"/>
      <c r="AN203" s="169"/>
      <c r="AQ203" s="169"/>
      <c r="AW203" s="144">
        <f t="shared" si="50"/>
        <v>0</v>
      </c>
    </row>
    <row r="204" spans="1:49" ht="9.75" thickBot="1" x14ac:dyDescent="0.2">
      <c r="A204" s="175"/>
      <c r="B204" s="176"/>
      <c r="C204" s="176"/>
      <c r="D204" s="170" t="str">
        <f t="shared" si="53"/>
        <v xml:space="preserve"> </v>
      </c>
      <c r="E204" s="178"/>
      <c r="F204" s="288">
        <v>0</v>
      </c>
      <c r="G204" s="178">
        <v>37</v>
      </c>
      <c r="H204" s="178">
        <v>37</v>
      </c>
      <c r="I204" s="178"/>
      <c r="J204" s="180"/>
      <c r="K204" s="178"/>
      <c r="L204" s="180"/>
      <c r="M204" s="180"/>
      <c r="N204" s="178"/>
      <c r="O204" s="178"/>
      <c r="P204" s="178"/>
      <c r="Q204" s="171">
        <f>AS204</f>
        <v>0</v>
      </c>
      <c r="R204" s="171">
        <f>AT204</f>
        <v>0</v>
      </c>
      <c r="S204" s="172">
        <f>AU204</f>
        <v>0</v>
      </c>
      <c r="U204" s="144">
        <f>IF(OR(C203=5,C204=5),0,1)</f>
        <v>1</v>
      </c>
      <c r="V204" s="144">
        <f t="shared" si="42"/>
        <v>0</v>
      </c>
      <c r="W204" s="144">
        <f t="shared" si="43"/>
        <v>0</v>
      </c>
      <c r="X204" s="144">
        <f t="shared" si="52"/>
        <v>0</v>
      </c>
      <c r="Y204" s="144">
        <f t="shared" si="44"/>
        <v>34.464599999999997</v>
      </c>
      <c r="Z204" s="169">
        <f t="shared" si="36"/>
        <v>0</v>
      </c>
      <c r="AA204" s="274">
        <f t="shared" si="37"/>
        <v>0</v>
      </c>
      <c r="AB204" s="169">
        <f t="shared" si="45"/>
        <v>0</v>
      </c>
      <c r="AC204" s="274">
        <f t="shared" si="38"/>
        <v>0</v>
      </c>
      <c r="AD204" s="169">
        <f t="shared" si="39"/>
        <v>0</v>
      </c>
      <c r="AE204" s="274">
        <f t="shared" si="40"/>
        <v>0</v>
      </c>
      <c r="AF204" s="169">
        <f t="shared" si="46"/>
        <v>0</v>
      </c>
      <c r="AG204" s="274">
        <f t="shared" si="41"/>
        <v>0</v>
      </c>
      <c r="AH204" s="169">
        <f t="shared" si="47"/>
        <v>0</v>
      </c>
      <c r="AI204" s="169"/>
      <c r="AJ204" s="169">
        <f t="shared" si="48"/>
        <v>0</v>
      </c>
      <c r="AK204" s="169">
        <f t="shared" si="49"/>
        <v>0</v>
      </c>
      <c r="AL204" s="169"/>
      <c r="AM204" s="169">
        <f>AK203*W203+AK204*W204</f>
        <v>0</v>
      </c>
      <c r="AN204" s="169">
        <f>(SUM(AD203:AG203)*W203+SUM(AD204:AG204)*W204)*12*VLOOKUP(C204,JNovergang,3,1)</f>
        <v>0</v>
      </c>
      <c r="AO204" s="169">
        <f>AM204-AN204</f>
        <v>0</v>
      </c>
      <c r="AP204" s="169">
        <f>M204*(100+X204)%</f>
        <v>0</v>
      </c>
      <c r="AQ204" s="274">
        <f>ROUND(M204*F204,2)</f>
        <v>0</v>
      </c>
      <c r="AS204" s="274">
        <f>ROUND((AP204+AQ204)+AM204*(N204/12),0)</f>
        <v>0</v>
      </c>
      <c r="AT204" s="274">
        <f>ROUND(AM204*(O204/12),0)</f>
        <v>0</v>
      </c>
      <c r="AU204" s="274">
        <f>ROUND(AM204*(P204/12)*U204,0)</f>
        <v>0</v>
      </c>
      <c r="AW204" s="144">
        <f t="shared" si="50"/>
        <v>0</v>
      </c>
    </row>
    <row r="205" spans="1:49" x14ac:dyDescent="0.15">
      <c r="A205" s="173"/>
      <c r="B205" s="174"/>
      <c r="C205" s="174"/>
      <c r="D205" s="165" t="str">
        <f t="shared" si="53"/>
        <v xml:space="preserve"> </v>
      </c>
      <c r="E205" s="177"/>
      <c r="F205" s="287">
        <v>0</v>
      </c>
      <c r="G205" s="177">
        <v>37</v>
      </c>
      <c r="H205" s="177">
        <v>37</v>
      </c>
      <c r="I205" s="177"/>
      <c r="J205" s="179"/>
      <c r="K205" s="177"/>
      <c r="L205" s="179"/>
      <c r="M205" s="166"/>
      <c r="N205" s="166"/>
      <c r="O205" s="166"/>
      <c r="P205" s="166"/>
      <c r="Q205" s="167"/>
      <c r="R205" s="167"/>
      <c r="S205" s="168"/>
      <c r="V205" s="144">
        <f t="shared" si="42"/>
        <v>0</v>
      </c>
      <c r="W205" s="144">
        <f t="shared" si="43"/>
        <v>0</v>
      </c>
      <c r="X205" s="144">
        <f t="shared" si="52"/>
        <v>0</v>
      </c>
      <c r="Y205" s="144">
        <f t="shared" si="44"/>
        <v>34.464599999999997</v>
      </c>
      <c r="Z205" s="169">
        <f t="shared" si="36"/>
        <v>0</v>
      </c>
      <c r="AA205" s="274">
        <f t="shared" si="37"/>
        <v>0</v>
      </c>
      <c r="AB205" s="169">
        <f t="shared" si="45"/>
        <v>0</v>
      </c>
      <c r="AC205" s="274">
        <f t="shared" si="38"/>
        <v>0</v>
      </c>
      <c r="AD205" s="169">
        <f t="shared" si="39"/>
        <v>0</v>
      </c>
      <c r="AE205" s="274">
        <f t="shared" si="40"/>
        <v>0</v>
      </c>
      <c r="AF205" s="169">
        <f t="shared" si="46"/>
        <v>0</v>
      </c>
      <c r="AG205" s="274">
        <f t="shared" si="41"/>
        <v>0</v>
      </c>
      <c r="AH205" s="169">
        <f t="shared" si="47"/>
        <v>0</v>
      </c>
      <c r="AI205" s="169"/>
      <c r="AJ205" s="169">
        <f t="shared" si="48"/>
        <v>0</v>
      </c>
      <c r="AK205" s="169">
        <f t="shared" si="49"/>
        <v>0</v>
      </c>
      <c r="AL205" s="169"/>
      <c r="AM205" s="169"/>
      <c r="AN205" s="169"/>
      <c r="AQ205" s="169"/>
      <c r="AW205" s="144">
        <f t="shared" si="50"/>
        <v>0</v>
      </c>
    </row>
    <row r="206" spans="1:49" ht="9.75" thickBot="1" x14ac:dyDescent="0.2">
      <c r="A206" s="175"/>
      <c r="B206" s="176"/>
      <c r="C206" s="176"/>
      <c r="D206" s="170" t="str">
        <f t="shared" si="53"/>
        <v xml:space="preserve"> </v>
      </c>
      <c r="E206" s="178"/>
      <c r="F206" s="288">
        <v>0</v>
      </c>
      <c r="G206" s="178">
        <v>37</v>
      </c>
      <c r="H206" s="178">
        <v>37</v>
      </c>
      <c r="I206" s="178"/>
      <c r="J206" s="180"/>
      <c r="K206" s="178"/>
      <c r="L206" s="180"/>
      <c r="M206" s="180"/>
      <c r="N206" s="178"/>
      <c r="O206" s="178"/>
      <c r="P206" s="178"/>
      <c r="Q206" s="171">
        <f>AS206</f>
        <v>0</v>
      </c>
      <c r="R206" s="171">
        <f>AT206</f>
        <v>0</v>
      </c>
      <c r="S206" s="172">
        <f>AU206</f>
        <v>0</v>
      </c>
      <c r="U206" s="144">
        <f>IF(OR(C205=5,C206=5),0,1)</f>
        <v>1</v>
      </c>
      <c r="V206" s="144">
        <f t="shared" si="42"/>
        <v>0</v>
      </c>
      <c r="W206" s="144">
        <f t="shared" si="43"/>
        <v>0</v>
      </c>
      <c r="X206" s="144">
        <f t="shared" si="52"/>
        <v>0</v>
      </c>
      <c r="Y206" s="144">
        <f t="shared" si="44"/>
        <v>34.464599999999997</v>
      </c>
      <c r="Z206" s="169">
        <f t="shared" si="36"/>
        <v>0</v>
      </c>
      <c r="AA206" s="274">
        <f t="shared" si="37"/>
        <v>0</v>
      </c>
      <c r="AB206" s="169">
        <f t="shared" si="45"/>
        <v>0</v>
      </c>
      <c r="AC206" s="274">
        <f t="shared" si="38"/>
        <v>0</v>
      </c>
      <c r="AD206" s="169">
        <f t="shared" si="39"/>
        <v>0</v>
      </c>
      <c r="AE206" s="274">
        <f t="shared" si="40"/>
        <v>0</v>
      </c>
      <c r="AF206" s="169">
        <f t="shared" si="46"/>
        <v>0</v>
      </c>
      <c r="AG206" s="274">
        <f t="shared" si="41"/>
        <v>0</v>
      </c>
      <c r="AH206" s="169">
        <f t="shared" si="47"/>
        <v>0</v>
      </c>
      <c r="AI206" s="169"/>
      <c r="AJ206" s="169">
        <f t="shared" si="48"/>
        <v>0</v>
      </c>
      <c r="AK206" s="169">
        <f t="shared" si="49"/>
        <v>0</v>
      </c>
      <c r="AL206" s="169"/>
      <c r="AM206" s="169">
        <f>AK205*W205+AK206*W206</f>
        <v>0</v>
      </c>
      <c r="AN206" s="169">
        <f>(SUM(AD205:AG205)*W205+SUM(AD206:AG206)*W206)*12*VLOOKUP(C206,JNovergang,3,1)</f>
        <v>0</v>
      </c>
      <c r="AO206" s="169">
        <f>AM206-AN206</f>
        <v>0</v>
      </c>
      <c r="AP206" s="169">
        <f>M206*(100+X206)%</f>
        <v>0</v>
      </c>
      <c r="AQ206" s="274">
        <f>ROUND(M206*F206,2)</f>
        <v>0</v>
      </c>
      <c r="AS206" s="274">
        <f>ROUND((AP206+AQ206)+AM206*(N206/12),0)</f>
        <v>0</v>
      </c>
      <c r="AT206" s="274">
        <f>ROUND(AM206*(O206/12),0)</f>
        <v>0</v>
      </c>
      <c r="AU206" s="274">
        <f>ROUND(AM206*(P206/12)*U206,0)</f>
        <v>0</v>
      </c>
      <c r="AW206" s="144">
        <f t="shared" si="50"/>
        <v>0</v>
      </c>
    </row>
    <row r="207" spans="1:49" x14ac:dyDescent="0.15">
      <c r="A207" s="173"/>
      <c r="B207" s="174"/>
      <c r="C207" s="174"/>
      <c r="D207" s="165" t="str">
        <f t="shared" si="53"/>
        <v xml:space="preserve"> </v>
      </c>
      <c r="E207" s="177"/>
      <c r="F207" s="287">
        <v>0</v>
      </c>
      <c r="G207" s="177">
        <v>37</v>
      </c>
      <c r="H207" s="177">
        <v>37</v>
      </c>
      <c r="I207" s="177"/>
      <c r="J207" s="179"/>
      <c r="K207" s="177"/>
      <c r="L207" s="179"/>
      <c r="M207" s="166"/>
      <c r="N207" s="166"/>
      <c r="O207" s="166"/>
      <c r="P207" s="166"/>
      <c r="Q207" s="167"/>
      <c r="R207" s="167"/>
      <c r="S207" s="168"/>
      <c r="V207" s="144">
        <f t="shared" si="42"/>
        <v>0</v>
      </c>
      <c r="W207" s="144">
        <f t="shared" si="43"/>
        <v>0</v>
      </c>
      <c r="X207" s="144">
        <f t="shared" si="52"/>
        <v>0</v>
      </c>
      <c r="Y207" s="144">
        <f t="shared" si="44"/>
        <v>34.464599999999997</v>
      </c>
      <c r="Z207" s="169">
        <f t="shared" si="36"/>
        <v>0</v>
      </c>
      <c r="AA207" s="274">
        <f t="shared" si="37"/>
        <v>0</v>
      </c>
      <c r="AB207" s="169">
        <f t="shared" si="45"/>
        <v>0</v>
      </c>
      <c r="AC207" s="274">
        <f t="shared" si="38"/>
        <v>0</v>
      </c>
      <c r="AD207" s="169">
        <f t="shared" si="39"/>
        <v>0</v>
      </c>
      <c r="AE207" s="274">
        <f t="shared" si="40"/>
        <v>0</v>
      </c>
      <c r="AF207" s="169">
        <f t="shared" si="46"/>
        <v>0</v>
      </c>
      <c r="AG207" s="274">
        <f t="shared" si="41"/>
        <v>0</v>
      </c>
      <c r="AH207" s="169">
        <f t="shared" si="47"/>
        <v>0</v>
      </c>
      <c r="AI207" s="169"/>
      <c r="AJ207" s="169">
        <f t="shared" si="48"/>
        <v>0</v>
      </c>
      <c r="AK207" s="169">
        <f t="shared" si="49"/>
        <v>0</v>
      </c>
      <c r="AL207" s="169"/>
      <c r="AM207" s="169"/>
      <c r="AN207" s="169"/>
      <c r="AQ207" s="169"/>
      <c r="AW207" s="144">
        <f t="shared" si="50"/>
        <v>0</v>
      </c>
    </row>
    <row r="208" spans="1:49" ht="9.75" thickBot="1" x14ac:dyDescent="0.2">
      <c r="A208" s="175"/>
      <c r="B208" s="176"/>
      <c r="C208" s="176"/>
      <c r="D208" s="170" t="str">
        <f t="shared" si="53"/>
        <v xml:space="preserve"> </v>
      </c>
      <c r="E208" s="178"/>
      <c r="F208" s="288">
        <v>0</v>
      </c>
      <c r="G208" s="178">
        <v>37</v>
      </c>
      <c r="H208" s="178">
        <v>37</v>
      </c>
      <c r="I208" s="178"/>
      <c r="J208" s="180"/>
      <c r="K208" s="178"/>
      <c r="L208" s="180"/>
      <c r="M208" s="180"/>
      <c r="N208" s="178"/>
      <c r="O208" s="178"/>
      <c r="P208" s="178"/>
      <c r="Q208" s="171">
        <f>AS208</f>
        <v>0</v>
      </c>
      <c r="R208" s="171">
        <f>AT208</f>
        <v>0</v>
      </c>
      <c r="S208" s="172">
        <f>AU208</f>
        <v>0</v>
      </c>
      <c r="U208" s="144">
        <f>IF(OR(C207=5,C208=5),0,1)</f>
        <v>1</v>
      </c>
      <c r="V208" s="144">
        <f t="shared" si="42"/>
        <v>0</v>
      </c>
      <c r="W208" s="144">
        <f t="shared" si="43"/>
        <v>0</v>
      </c>
      <c r="X208" s="144">
        <f t="shared" si="52"/>
        <v>0</v>
      </c>
      <c r="Y208" s="144">
        <f t="shared" si="44"/>
        <v>34.464599999999997</v>
      </c>
      <c r="Z208" s="169">
        <f t="shared" si="36"/>
        <v>0</v>
      </c>
      <c r="AA208" s="274">
        <f t="shared" si="37"/>
        <v>0</v>
      </c>
      <c r="AB208" s="169">
        <f t="shared" si="45"/>
        <v>0</v>
      </c>
      <c r="AC208" s="274">
        <f t="shared" si="38"/>
        <v>0</v>
      </c>
      <c r="AD208" s="169">
        <f t="shared" si="39"/>
        <v>0</v>
      </c>
      <c r="AE208" s="274">
        <f t="shared" si="40"/>
        <v>0</v>
      </c>
      <c r="AF208" s="169">
        <f t="shared" si="46"/>
        <v>0</v>
      </c>
      <c r="AG208" s="274">
        <f t="shared" si="41"/>
        <v>0</v>
      </c>
      <c r="AH208" s="169">
        <f t="shared" si="47"/>
        <v>0</v>
      </c>
      <c r="AI208" s="169"/>
      <c r="AJ208" s="169">
        <f t="shared" si="48"/>
        <v>0</v>
      </c>
      <c r="AK208" s="169">
        <f t="shared" si="49"/>
        <v>0</v>
      </c>
      <c r="AL208" s="169"/>
      <c r="AM208" s="169">
        <f>AK207*W207+AK208*W208</f>
        <v>0</v>
      </c>
      <c r="AN208" s="169">
        <f>(SUM(AD207:AG207)*W207+SUM(AD208:AG208)*W208)*12*VLOOKUP(C208,JNovergang,3,1)</f>
        <v>0</v>
      </c>
      <c r="AO208" s="169">
        <f>AM208-AN208</f>
        <v>0</v>
      </c>
      <c r="AP208" s="169">
        <f>M208*(100+X208)%</f>
        <v>0</v>
      </c>
      <c r="AQ208" s="274">
        <f>ROUND(M208*F208,2)</f>
        <v>0</v>
      </c>
      <c r="AS208" s="274">
        <f>ROUND((AP208+AQ208)+AM208*(N208/12),0)</f>
        <v>0</v>
      </c>
      <c r="AT208" s="274">
        <f>ROUND(AM208*(O208/12),0)</f>
        <v>0</v>
      </c>
      <c r="AU208" s="274">
        <f>ROUND(AM208*(P208/12)*U208,0)</f>
        <v>0</v>
      </c>
      <c r="AW208" s="144">
        <f t="shared" si="50"/>
        <v>0</v>
      </c>
    </row>
    <row r="209" spans="1:49" x14ac:dyDescent="0.15">
      <c r="A209" s="173"/>
      <c r="B209" s="174"/>
      <c r="C209" s="174"/>
      <c r="D209" s="165" t="str">
        <f t="shared" si="53"/>
        <v xml:space="preserve"> </v>
      </c>
      <c r="E209" s="177"/>
      <c r="F209" s="287">
        <v>0</v>
      </c>
      <c r="G209" s="177">
        <v>37</v>
      </c>
      <c r="H209" s="177">
        <v>37</v>
      </c>
      <c r="I209" s="177"/>
      <c r="J209" s="179"/>
      <c r="K209" s="177"/>
      <c r="L209" s="179"/>
      <c r="M209" s="166"/>
      <c r="N209" s="166"/>
      <c r="O209" s="166"/>
      <c r="P209" s="166"/>
      <c r="Q209" s="167"/>
      <c r="R209" s="167"/>
      <c r="S209" s="168"/>
      <c r="V209" s="144">
        <f t="shared" si="42"/>
        <v>0</v>
      </c>
      <c r="W209" s="144">
        <f t="shared" si="43"/>
        <v>0</v>
      </c>
      <c r="X209" s="144">
        <f t="shared" si="52"/>
        <v>0</v>
      </c>
      <c r="Y209" s="144">
        <f t="shared" si="44"/>
        <v>34.464599999999997</v>
      </c>
      <c r="Z209" s="169">
        <f t="shared" si="36"/>
        <v>0</v>
      </c>
      <c r="AA209" s="274">
        <f t="shared" si="37"/>
        <v>0</v>
      </c>
      <c r="AB209" s="169">
        <f t="shared" si="45"/>
        <v>0</v>
      </c>
      <c r="AC209" s="274">
        <f t="shared" si="38"/>
        <v>0</v>
      </c>
      <c r="AD209" s="169">
        <f t="shared" si="39"/>
        <v>0</v>
      </c>
      <c r="AE209" s="274">
        <f t="shared" si="40"/>
        <v>0</v>
      </c>
      <c r="AF209" s="169">
        <f t="shared" si="46"/>
        <v>0</v>
      </c>
      <c r="AG209" s="274">
        <f t="shared" si="41"/>
        <v>0</v>
      </c>
      <c r="AH209" s="169">
        <f t="shared" si="47"/>
        <v>0</v>
      </c>
      <c r="AI209" s="169"/>
      <c r="AJ209" s="169">
        <f t="shared" si="48"/>
        <v>0</v>
      </c>
      <c r="AK209" s="169">
        <f t="shared" si="49"/>
        <v>0</v>
      </c>
      <c r="AL209" s="169"/>
      <c r="AM209" s="169"/>
      <c r="AN209" s="169"/>
      <c r="AQ209" s="169"/>
      <c r="AW209" s="144">
        <f t="shared" si="50"/>
        <v>0</v>
      </c>
    </row>
    <row r="210" spans="1:49" ht="9.75" thickBot="1" x14ac:dyDescent="0.2">
      <c r="A210" s="175"/>
      <c r="B210" s="176"/>
      <c r="C210" s="176"/>
      <c r="D210" s="170" t="str">
        <f t="shared" si="53"/>
        <v xml:space="preserve"> </v>
      </c>
      <c r="E210" s="178"/>
      <c r="F210" s="288">
        <v>0</v>
      </c>
      <c r="G210" s="178">
        <v>37</v>
      </c>
      <c r="H210" s="178">
        <v>37</v>
      </c>
      <c r="I210" s="178"/>
      <c r="J210" s="180"/>
      <c r="K210" s="178"/>
      <c r="L210" s="180"/>
      <c r="M210" s="180"/>
      <c r="N210" s="178"/>
      <c r="O210" s="178"/>
      <c r="P210" s="178"/>
      <c r="Q210" s="171">
        <f>AS210</f>
        <v>0</v>
      </c>
      <c r="R210" s="171">
        <f>AT210</f>
        <v>0</v>
      </c>
      <c r="S210" s="172">
        <f>AU210</f>
        <v>0</v>
      </c>
      <c r="U210" s="144">
        <f>IF(OR(C209=5,C210=5),0,1)</f>
        <v>1</v>
      </c>
      <c r="V210" s="144">
        <f t="shared" si="42"/>
        <v>0</v>
      </c>
      <c r="W210" s="144">
        <f t="shared" si="43"/>
        <v>0</v>
      </c>
      <c r="X210" s="144">
        <f t="shared" si="52"/>
        <v>0</v>
      </c>
      <c r="Y210" s="144">
        <f t="shared" si="44"/>
        <v>34.464599999999997</v>
      </c>
      <c r="Z210" s="169">
        <f t="shared" si="36"/>
        <v>0</v>
      </c>
      <c r="AA210" s="274">
        <f t="shared" si="37"/>
        <v>0</v>
      </c>
      <c r="AB210" s="169">
        <f t="shared" si="45"/>
        <v>0</v>
      </c>
      <c r="AC210" s="274">
        <f t="shared" si="38"/>
        <v>0</v>
      </c>
      <c r="AD210" s="169">
        <f t="shared" si="39"/>
        <v>0</v>
      </c>
      <c r="AE210" s="274">
        <f t="shared" si="40"/>
        <v>0</v>
      </c>
      <c r="AF210" s="169">
        <f t="shared" si="46"/>
        <v>0</v>
      </c>
      <c r="AG210" s="274">
        <f t="shared" si="41"/>
        <v>0</v>
      </c>
      <c r="AH210" s="169">
        <f t="shared" si="47"/>
        <v>0</v>
      </c>
      <c r="AI210" s="169"/>
      <c r="AJ210" s="169">
        <f t="shared" si="48"/>
        <v>0</v>
      </c>
      <c r="AK210" s="169">
        <f t="shared" si="49"/>
        <v>0</v>
      </c>
      <c r="AL210" s="169"/>
      <c r="AM210" s="169">
        <f>AK209*W209+AK210*W210</f>
        <v>0</v>
      </c>
      <c r="AN210" s="169">
        <f>(SUM(AD209:AG209)*W209+SUM(AD210:AG210)*W210)*12*VLOOKUP(C210,JNovergang,3,1)</f>
        <v>0</v>
      </c>
      <c r="AO210" s="169">
        <f>AM210-AN210</f>
        <v>0</v>
      </c>
      <c r="AP210" s="169">
        <f>M210*(100+X210)%</f>
        <v>0</v>
      </c>
      <c r="AQ210" s="274">
        <f>ROUND(M210*F210,2)</f>
        <v>0</v>
      </c>
      <c r="AS210" s="274">
        <f>ROUND((AP210+AQ210)+AM210*(N210/12),0)</f>
        <v>0</v>
      </c>
      <c r="AT210" s="274">
        <f>ROUND(AM210*(O210/12),0)</f>
        <v>0</v>
      </c>
      <c r="AU210" s="274">
        <f>ROUND(AM210*(P210/12)*U210,0)</f>
        <v>0</v>
      </c>
      <c r="AW210" s="144">
        <f t="shared" si="50"/>
        <v>0</v>
      </c>
    </row>
    <row r="211" spans="1:49" x14ac:dyDescent="0.15">
      <c r="A211" s="173"/>
      <c r="B211" s="174"/>
      <c r="C211" s="174"/>
      <c r="D211" s="165" t="str">
        <f t="shared" si="53"/>
        <v xml:space="preserve"> </v>
      </c>
      <c r="E211" s="177"/>
      <c r="F211" s="287">
        <v>0</v>
      </c>
      <c r="G211" s="177">
        <v>37</v>
      </c>
      <c r="H211" s="177">
        <v>37</v>
      </c>
      <c r="I211" s="177"/>
      <c r="J211" s="179"/>
      <c r="K211" s="177"/>
      <c r="L211" s="179"/>
      <c r="M211" s="166"/>
      <c r="N211" s="166"/>
      <c r="O211" s="166"/>
      <c r="P211" s="166"/>
      <c r="Q211" s="167"/>
      <c r="R211" s="167"/>
      <c r="S211" s="168"/>
      <c r="V211" s="144">
        <f t="shared" si="42"/>
        <v>0</v>
      </c>
      <c r="W211" s="144">
        <f t="shared" si="43"/>
        <v>0</v>
      </c>
      <c r="X211" s="144">
        <f t="shared" si="52"/>
        <v>0</v>
      </c>
      <c r="Y211" s="144">
        <f t="shared" si="44"/>
        <v>34.464599999999997</v>
      </c>
      <c r="Z211" s="169">
        <f t="shared" si="36"/>
        <v>0</v>
      </c>
      <c r="AA211" s="274">
        <f t="shared" si="37"/>
        <v>0</v>
      </c>
      <c r="AB211" s="169">
        <f t="shared" si="45"/>
        <v>0</v>
      </c>
      <c r="AC211" s="274">
        <f t="shared" si="38"/>
        <v>0</v>
      </c>
      <c r="AD211" s="169">
        <f t="shared" si="39"/>
        <v>0</v>
      </c>
      <c r="AE211" s="274">
        <f t="shared" si="40"/>
        <v>0</v>
      </c>
      <c r="AF211" s="169">
        <f t="shared" si="46"/>
        <v>0</v>
      </c>
      <c r="AG211" s="274">
        <f t="shared" si="41"/>
        <v>0</v>
      </c>
      <c r="AH211" s="169">
        <f t="shared" si="47"/>
        <v>0</v>
      </c>
      <c r="AI211" s="169"/>
      <c r="AJ211" s="169">
        <f t="shared" si="48"/>
        <v>0</v>
      </c>
      <c r="AK211" s="169">
        <f t="shared" si="49"/>
        <v>0</v>
      </c>
      <c r="AL211" s="169"/>
      <c r="AM211" s="169"/>
      <c r="AN211" s="169"/>
      <c r="AQ211" s="169"/>
      <c r="AW211" s="144">
        <f t="shared" si="50"/>
        <v>0</v>
      </c>
    </row>
    <row r="212" spans="1:49" ht="9.75" thickBot="1" x14ac:dyDescent="0.2">
      <c r="A212" s="175"/>
      <c r="B212" s="176"/>
      <c r="C212" s="176"/>
      <c r="D212" s="170" t="str">
        <f t="shared" si="53"/>
        <v xml:space="preserve"> </v>
      </c>
      <c r="E212" s="178"/>
      <c r="F212" s="288">
        <v>0</v>
      </c>
      <c r="G212" s="178">
        <v>37</v>
      </c>
      <c r="H212" s="178">
        <v>37</v>
      </c>
      <c r="I212" s="178"/>
      <c r="J212" s="180"/>
      <c r="K212" s="178"/>
      <c r="L212" s="180"/>
      <c r="M212" s="180"/>
      <c r="N212" s="178"/>
      <c r="O212" s="178"/>
      <c r="P212" s="178"/>
      <c r="Q212" s="171">
        <f>AS212</f>
        <v>0</v>
      </c>
      <c r="R212" s="171">
        <f>AT212</f>
        <v>0</v>
      </c>
      <c r="S212" s="172">
        <f>AU212</f>
        <v>0</v>
      </c>
      <c r="U212" s="144">
        <f>IF(OR(C211=5,C212=5),0,1)</f>
        <v>1</v>
      </c>
      <c r="V212" s="144">
        <f t="shared" si="42"/>
        <v>0</v>
      </c>
      <c r="W212" s="144">
        <f t="shared" si="43"/>
        <v>0</v>
      </c>
      <c r="X212" s="144">
        <f t="shared" si="52"/>
        <v>0</v>
      </c>
      <c r="Y212" s="144">
        <f t="shared" si="44"/>
        <v>34.464599999999997</v>
      </c>
      <c r="Z212" s="169">
        <f t="shared" si="36"/>
        <v>0</v>
      </c>
      <c r="AA212" s="274">
        <f t="shared" si="37"/>
        <v>0</v>
      </c>
      <c r="AB212" s="169">
        <f t="shared" si="45"/>
        <v>0</v>
      </c>
      <c r="AC212" s="274">
        <f t="shared" si="38"/>
        <v>0</v>
      </c>
      <c r="AD212" s="169">
        <f t="shared" si="39"/>
        <v>0</v>
      </c>
      <c r="AE212" s="274">
        <f t="shared" si="40"/>
        <v>0</v>
      </c>
      <c r="AF212" s="169">
        <f t="shared" si="46"/>
        <v>0</v>
      </c>
      <c r="AG212" s="274">
        <f t="shared" si="41"/>
        <v>0</v>
      </c>
      <c r="AH212" s="169">
        <f t="shared" si="47"/>
        <v>0</v>
      </c>
      <c r="AI212" s="169"/>
      <c r="AJ212" s="169">
        <f t="shared" si="48"/>
        <v>0</v>
      </c>
      <c r="AK212" s="169">
        <f t="shared" si="49"/>
        <v>0</v>
      </c>
      <c r="AL212" s="169"/>
      <c r="AM212" s="169">
        <f>AK211*W211+AK212*W212</f>
        <v>0</v>
      </c>
      <c r="AN212" s="169">
        <f>(SUM(AD211:AG211)*W211+SUM(AD212:AG212)*W212)*12*VLOOKUP(C212,JNovergang,3,1)</f>
        <v>0</v>
      </c>
      <c r="AO212" s="169">
        <f>AM212-AN212</f>
        <v>0</v>
      </c>
      <c r="AP212" s="169">
        <f>M212*(100+X212)%</f>
        <v>0</v>
      </c>
      <c r="AQ212" s="274">
        <f>ROUND(M212*F212,2)</f>
        <v>0</v>
      </c>
      <c r="AS212" s="274">
        <f>ROUND((AP212+AQ212)+AM212*(N212/12),0)</f>
        <v>0</v>
      </c>
      <c r="AT212" s="274">
        <f>ROUND(AM212*(O212/12),0)</f>
        <v>0</v>
      </c>
      <c r="AU212" s="274">
        <f>ROUND(AM212*(P212/12)*U212,0)</f>
        <v>0</v>
      </c>
      <c r="AW212" s="144">
        <f t="shared" si="50"/>
        <v>0</v>
      </c>
    </row>
    <row r="213" spans="1:49" x14ac:dyDescent="0.15">
      <c r="A213" s="173"/>
      <c r="B213" s="174"/>
      <c r="C213" s="174"/>
      <c r="D213" s="165" t="str">
        <f t="shared" si="53"/>
        <v xml:space="preserve"> </v>
      </c>
      <c r="E213" s="177"/>
      <c r="F213" s="287">
        <v>0</v>
      </c>
      <c r="G213" s="177">
        <v>37</v>
      </c>
      <c r="H213" s="177">
        <v>37</v>
      </c>
      <c r="I213" s="177"/>
      <c r="J213" s="179"/>
      <c r="K213" s="177"/>
      <c r="L213" s="179"/>
      <c r="M213" s="166"/>
      <c r="N213" s="166"/>
      <c r="O213" s="166"/>
      <c r="P213" s="166"/>
      <c r="Q213" s="167"/>
      <c r="R213" s="167"/>
      <c r="S213" s="168"/>
      <c r="V213" s="144">
        <f t="shared" si="42"/>
        <v>0</v>
      </c>
      <c r="W213" s="144">
        <f t="shared" si="43"/>
        <v>0</v>
      </c>
      <c r="X213" s="144">
        <f t="shared" si="52"/>
        <v>0</v>
      </c>
      <c r="Y213" s="144">
        <f t="shared" si="44"/>
        <v>34.464599999999997</v>
      </c>
      <c r="Z213" s="169">
        <f t="shared" ref="Z213:Z276" si="54">ROUND(VLOOKUP(I213,TabelLønninger,VLOOKUP(E213,TabelLøntabel,2,1),1)*G213/H213,2)</f>
        <v>0</v>
      </c>
      <c r="AA213" s="274">
        <f t="shared" ref="AA213:AA276" si="55">ROUND(VLOOKUP(I213,TabelLønninger,VLOOKUP(E213,TabelPensgivLøn,2))*F213/12*G213/H213,2)</f>
        <v>0</v>
      </c>
      <c r="AB213" s="169">
        <f t="shared" si="45"/>
        <v>0</v>
      </c>
      <c r="AC213" s="274">
        <f t="shared" ref="AC213:AC276" si="56">ROUND(AB213*F213,2)</f>
        <v>0</v>
      </c>
      <c r="AD213" s="169">
        <f t="shared" ref="AD213:AD276" si="57">ROUND(VLOOKUP(I213+K213,TabelLønninger,VLOOKUP(E213,TabelLøntabel,2,1),1)*G213/H213,2)-Z213</f>
        <v>0</v>
      </c>
      <c r="AE213" s="274">
        <f t="shared" ref="AE213:AE276" si="58">ROUND(VLOOKUP(I213+K213,TabelLønninger,VLOOKUP(E213,TabelPensgivLøn,2))*F213/12*G213/H213,2)-AA213</f>
        <v>0</v>
      </c>
      <c r="AF213" s="169">
        <f t="shared" si="46"/>
        <v>0</v>
      </c>
      <c r="AG213" s="274">
        <f t="shared" ref="AG213:AG276" si="59">ROUND(AF213*F213,2)</f>
        <v>0</v>
      </c>
      <c r="AH213" s="169">
        <f t="shared" si="47"/>
        <v>0</v>
      </c>
      <c r="AI213" s="169"/>
      <c r="AJ213" s="169">
        <f t="shared" si="48"/>
        <v>0</v>
      </c>
      <c r="AK213" s="169">
        <f t="shared" si="49"/>
        <v>0</v>
      </c>
      <c r="AL213" s="169"/>
      <c r="AM213" s="169"/>
      <c r="AN213" s="169"/>
      <c r="AQ213" s="169"/>
      <c r="AW213" s="144">
        <f t="shared" si="50"/>
        <v>0</v>
      </c>
    </row>
    <row r="214" spans="1:49" ht="9.75" thickBot="1" x14ac:dyDescent="0.2">
      <c r="A214" s="175"/>
      <c r="B214" s="176"/>
      <c r="C214" s="176"/>
      <c r="D214" s="170" t="str">
        <f t="shared" si="53"/>
        <v xml:space="preserve"> </v>
      </c>
      <c r="E214" s="178"/>
      <c r="F214" s="288">
        <v>0</v>
      </c>
      <c r="G214" s="178">
        <v>37</v>
      </c>
      <c r="H214" s="178">
        <v>37</v>
      </c>
      <c r="I214" s="178"/>
      <c r="J214" s="180"/>
      <c r="K214" s="178"/>
      <c r="L214" s="180"/>
      <c r="M214" s="180"/>
      <c r="N214" s="178"/>
      <c r="O214" s="178"/>
      <c r="P214" s="178"/>
      <c r="Q214" s="171">
        <f>AS214</f>
        <v>0</v>
      </c>
      <c r="R214" s="171">
        <f>AT214</f>
        <v>0</v>
      </c>
      <c r="S214" s="172">
        <f>AU214</f>
        <v>0</v>
      </c>
      <c r="U214" s="144">
        <f>IF(OR(C213=5,C214=5),0,1)</f>
        <v>1</v>
      </c>
      <c r="V214" s="144">
        <f t="shared" ref="V214:V277" si="60">VLOOKUP(C214,TabelRammeforbrug,3,1)</f>
        <v>0</v>
      </c>
      <c r="W214" s="144">
        <f t="shared" ref="W214:W277" si="61">VLOOKUP(C214,FraTil,3,1)</f>
        <v>0</v>
      </c>
      <c r="X214" s="144">
        <f t="shared" si="52"/>
        <v>0</v>
      </c>
      <c r="Y214" s="144">
        <f t="shared" ref="Y214:Y277" si="62">VLOOKUP(E214,TabelPctReg,2)</f>
        <v>34.464599999999997</v>
      </c>
      <c r="Z214" s="169">
        <f t="shared" si="54"/>
        <v>0</v>
      </c>
      <c r="AA214" s="274">
        <f t="shared" si="55"/>
        <v>0</v>
      </c>
      <c r="AB214" s="169">
        <f t="shared" ref="AB214:AB277" si="63">ROUND(J214/12*(1+Y214%),2)*G214/H214</f>
        <v>0</v>
      </c>
      <c r="AC214" s="274">
        <f t="shared" si="56"/>
        <v>0</v>
      </c>
      <c r="AD214" s="169">
        <f t="shared" si="57"/>
        <v>0</v>
      </c>
      <c r="AE214" s="274">
        <f t="shared" si="58"/>
        <v>0</v>
      </c>
      <c r="AF214" s="169">
        <f t="shared" ref="AF214:AF277" si="64">ROUND(L214/12*(1+Y214%),2)*G214/H214</f>
        <v>0</v>
      </c>
      <c r="AG214" s="274">
        <f t="shared" si="59"/>
        <v>0</v>
      </c>
      <c r="AH214" s="169">
        <f t="shared" ref="AH214:AH277" si="65">ROUND((Z214+AB214+AD214+AF214)*X214%,2)</f>
        <v>0</v>
      </c>
      <c r="AI214" s="169"/>
      <c r="AJ214" s="169">
        <f t="shared" ref="AJ214:AJ277" si="66">SUM(Z214:AH214)</f>
        <v>0</v>
      </c>
      <c r="AK214" s="169">
        <f t="shared" ref="AK214:AK277" si="67">AJ214*12</f>
        <v>0</v>
      </c>
      <c r="AL214" s="169"/>
      <c r="AM214" s="169">
        <f>AK213*W213+AK214*W214</f>
        <v>0</v>
      </c>
      <c r="AN214" s="169">
        <f>(SUM(AD213:AG213)*W213+SUM(AD214:AG214)*W214)*12*VLOOKUP(C214,JNovergang,3,1)</f>
        <v>0</v>
      </c>
      <c r="AO214" s="169">
        <f>AM214-AN214</f>
        <v>0</v>
      </c>
      <c r="AP214" s="169">
        <f>M214*(100+X214)%</f>
        <v>0</v>
      </c>
      <c r="AQ214" s="274">
        <f>ROUND(M214*F214,2)</f>
        <v>0</v>
      </c>
      <c r="AS214" s="274">
        <f>ROUND((AP214+AQ214)+AM214*(N214/12),0)</f>
        <v>0</v>
      </c>
      <c r="AT214" s="274">
        <f>ROUND(AM214*(O214/12),0)</f>
        <v>0</v>
      </c>
      <c r="AU214" s="274">
        <f>ROUND(AM214*(P214/12)*U214,0)</f>
        <v>0</v>
      </c>
      <c r="AW214" s="144">
        <f t="shared" ref="AW214:AW277" si="68">IF(ISNUMBER(C214),ROW(),0)</f>
        <v>0</v>
      </c>
    </row>
    <row r="215" spans="1:49" x14ac:dyDescent="0.15">
      <c r="A215" s="173"/>
      <c r="B215" s="174"/>
      <c r="C215" s="174"/>
      <c r="D215" s="165" t="str">
        <f t="shared" si="53"/>
        <v xml:space="preserve"> </v>
      </c>
      <c r="E215" s="177"/>
      <c r="F215" s="287">
        <v>0</v>
      </c>
      <c r="G215" s="177">
        <v>37</v>
      </c>
      <c r="H215" s="177">
        <v>37</v>
      </c>
      <c r="I215" s="177"/>
      <c r="J215" s="179"/>
      <c r="K215" s="177"/>
      <c r="L215" s="179"/>
      <c r="M215" s="166"/>
      <c r="N215" s="166"/>
      <c r="O215" s="166"/>
      <c r="P215" s="166"/>
      <c r="Q215" s="167"/>
      <c r="R215" s="167"/>
      <c r="S215" s="168"/>
      <c r="V215" s="144">
        <f t="shared" si="60"/>
        <v>0</v>
      </c>
      <c r="W215" s="144">
        <f t="shared" si="61"/>
        <v>0</v>
      </c>
      <c r="X215" s="144">
        <f t="shared" si="52"/>
        <v>0</v>
      </c>
      <c r="Y215" s="144">
        <f t="shared" si="62"/>
        <v>34.464599999999997</v>
      </c>
      <c r="Z215" s="169">
        <f t="shared" si="54"/>
        <v>0</v>
      </c>
      <c r="AA215" s="274">
        <f t="shared" si="55"/>
        <v>0</v>
      </c>
      <c r="AB215" s="169">
        <f t="shared" si="63"/>
        <v>0</v>
      </c>
      <c r="AC215" s="274">
        <f t="shared" si="56"/>
        <v>0</v>
      </c>
      <c r="AD215" s="169">
        <f t="shared" si="57"/>
        <v>0</v>
      </c>
      <c r="AE215" s="274">
        <f t="shared" si="58"/>
        <v>0</v>
      </c>
      <c r="AF215" s="169">
        <f t="shared" si="64"/>
        <v>0</v>
      </c>
      <c r="AG215" s="274">
        <f t="shared" si="59"/>
        <v>0</v>
      </c>
      <c r="AH215" s="169">
        <f t="shared" si="65"/>
        <v>0</v>
      </c>
      <c r="AI215" s="169"/>
      <c r="AJ215" s="169">
        <f t="shared" si="66"/>
        <v>0</v>
      </c>
      <c r="AK215" s="169">
        <f t="shared" si="67"/>
        <v>0</v>
      </c>
      <c r="AL215" s="169"/>
      <c r="AM215" s="169"/>
      <c r="AN215" s="169"/>
      <c r="AQ215" s="169"/>
      <c r="AW215" s="144">
        <f t="shared" si="68"/>
        <v>0</v>
      </c>
    </row>
    <row r="216" spans="1:49" ht="9.75" thickBot="1" x14ac:dyDescent="0.2">
      <c r="A216" s="175"/>
      <c r="B216" s="176"/>
      <c r="C216" s="176"/>
      <c r="D216" s="170" t="str">
        <f t="shared" si="53"/>
        <v xml:space="preserve"> </v>
      </c>
      <c r="E216" s="178"/>
      <c r="F216" s="288">
        <v>0</v>
      </c>
      <c r="G216" s="178">
        <v>37</v>
      </c>
      <c r="H216" s="178">
        <v>37</v>
      </c>
      <c r="I216" s="178"/>
      <c r="J216" s="180"/>
      <c r="K216" s="178"/>
      <c r="L216" s="180"/>
      <c r="M216" s="180"/>
      <c r="N216" s="178"/>
      <c r="O216" s="178"/>
      <c r="P216" s="178"/>
      <c r="Q216" s="171">
        <f>AS216</f>
        <v>0</v>
      </c>
      <c r="R216" s="171">
        <f>AT216</f>
        <v>0</v>
      </c>
      <c r="S216" s="172">
        <f>AU216</f>
        <v>0</v>
      </c>
      <c r="U216" s="144">
        <f>IF(OR(C215=5,C216=5),0,1)</f>
        <v>1</v>
      </c>
      <c r="V216" s="144">
        <f t="shared" si="60"/>
        <v>0</v>
      </c>
      <c r="W216" s="144">
        <f t="shared" si="61"/>
        <v>0</v>
      </c>
      <c r="X216" s="144">
        <f t="shared" si="52"/>
        <v>0</v>
      </c>
      <c r="Y216" s="144">
        <f t="shared" si="62"/>
        <v>34.464599999999997</v>
      </c>
      <c r="Z216" s="169">
        <f t="shared" si="54"/>
        <v>0</v>
      </c>
      <c r="AA216" s="274">
        <f t="shared" si="55"/>
        <v>0</v>
      </c>
      <c r="AB216" s="169">
        <f t="shared" si="63"/>
        <v>0</v>
      </c>
      <c r="AC216" s="274">
        <f t="shared" si="56"/>
        <v>0</v>
      </c>
      <c r="AD216" s="169">
        <f t="shared" si="57"/>
        <v>0</v>
      </c>
      <c r="AE216" s="274">
        <f t="shared" si="58"/>
        <v>0</v>
      </c>
      <c r="AF216" s="169">
        <f t="shared" si="64"/>
        <v>0</v>
      </c>
      <c r="AG216" s="274">
        <f t="shared" si="59"/>
        <v>0</v>
      </c>
      <c r="AH216" s="169">
        <f t="shared" si="65"/>
        <v>0</v>
      </c>
      <c r="AI216" s="169"/>
      <c r="AJ216" s="169">
        <f t="shared" si="66"/>
        <v>0</v>
      </c>
      <c r="AK216" s="169">
        <f t="shared" si="67"/>
        <v>0</v>
      </c>
      <c r="AL216" s="169"/>
      <c r="AM216" s="169">
        <f>AK215*W215+AK216*W216</f>
        <v>0</v>
      </c>
      <c r="AN216" s="169">
        <f>(SUM(AD215:AG215)*W215+SUM(AD216:AG216)*W216)*12*VLOOKUP(C216,JNovergang,3,1)</f>
        <v>0</v>
      </c>
      <c r="AO216" s="169">
        <f>AM216-AN216</f>
        <v>0</v>
      </c>
      <c r="AP216" s="169">
        <f>M216*(100+X216)%</f>
        <v>0</v>
      </c>
      <c r="AQ216" s="274">
        <f>ROUND(M216*F216,2)</f>
        <v>0</v>
      </c>
      <c r="AS216" s="274">
        <f>ROUND((AP216+AQ216)+AM216*(N216/12),0)</f>
        <v>0</v>
      </c>
      <c r="AT216" s="274">
        <f>ROUND(AM216*(O216/12),0)</f>
        <v>0</v>
      </c>
      <c r="AU216" s="274">
        <f>ROUND(AM216*(P216/12)*U216,0)</f>
        <v>0</v>
      </c>
      <c r="AW216" s="144">
        <f t="shared" si="68"/>
        <v>0</v>
      </c>
    </row>
    <row r="217" spans="1:49" x14ac:dyDescent="0.15">
      <c r="A217" s="173"/>
      <c r="B217" s="174"/>
      <c r="C217" s="174"/>
      <c r="D217" s="165" t="str">
        <f t="shared" si="53"/>
        <v xml:space="preserve"> </v>
      </c>
      <c r="E217" s="177"/>
      <c r="F217" s="287">
        <v>0</v>
      </c>
      <c r="G217" s="177">
        <v>37</v>
      </c>
      <c r="H217" s="177">
        <v>37</v>
      </c>
      <c r="I217" s="177"/>
      <c r="J217" s="179"/>
      <c r="K217" s="177"/>
      <c r="L217" s="179"/>
      <c r="M217" s="166"/>
      <c r="N217" s="166"/>
      <c r="O217" s="166"/>
      <c r="P217" s="166"/>
      <c r="Q217" s="167"/>
      <c r="R217" s="167"/>
      <c r="S217" s="168"/>
      <c r="V217" s="144">
        <f t="shared" si="60"/>
        <v>0</v>
      </c>
      <c r="W217" s="144">
        <f t="shared" si="61"/>
        <v>0</v>
      </c>
      <c r="X217" s="144">
        <f t="shared" si="52"/>
        <v>0</v>
      </c>
      <c r="Y217" s="144">
        <f t="shared" si="62"/>
        <v>34.464599999999997</v>
      </c>
      <c r="Z217" s="169">
        <f t="shared" si="54"/>
        <v>0</v>
      </c>
      <c r="AA217" s="274">
        <f t="shared" si="55"/>
        <v>0</v>
      </c>
      <c r="AB217" s="169">
        <f t="shared" si="63"/>
        <v>0</v>
      </c>
      <c r="AC217" s="274">
        <f t="shared" si="56"/>
        <v>0</v>
      </c>
      <c r="AD217" s="169">
        <f t="shared" si="57"/>
        <v>0</v>
      </c>
      <c r="AE217" s="274">
        <f t="shared" si="58"/>
        <v>0</v>
      </c>
      <c r="AF217" s="169">
        <f t="shared" si="64"/>
        <v>0</v>
      </c>
      <c r="AG217" s="274">
        <f t="shared" si="59"/>
        <v>0</v>
      </c>
      <c r="AH217" s="169">
        <f t="shared" si="65"/>
        <v>0</v>
      </c>
      <c r="AI217" s="169"/>
      <c r="AJ217" s="169">
        <f t="shared" si="66"/>
        <v>0</v>
      </c>
      <c r="AK217" s="169">
        <f t="shared" si="67"/>
        <v>0</v>
      </c>
      <c r="AL217" s="169"/>
      <c r="AM217" s="169"/>
      <c r="AN217" s="169"/>
      <c r="AQ217" s="169"/>
      <c r="AW217" s="144">
        <f t="shared" si="68"/>
        <v>0</v>
      </c>
    </row>
    <row r="218" spans="1:49" ht="9.75" thickBot="1" x14ac:dyDescent="0.2">
      <c r="A218" s="175"/>
      <c r="B218" s="176"/>
      <c r="C218" s="176"/>
      <c r="D218" s="170" t="str">
        <f t="shared" si="53"/>
        <v xml:space="preserve"> </v>
      </c>
      <c r="E218" s="178"/>
      <c r="F218" s="288">
        <v>0</v>
      </c>
      <c r="G218" s="178">
        <v>37</v>
      </c>
      <c r="H218" s="178">
        <v>37</v>
      </c>
      <c r="I218" s="178"/>
      <c r="J218" s="180"/>
      <c r="K218" s="178"/>
      <c r="L218" s="180"/>
      <c r="M218" s="180"/>
      <c r="N218" s="178"/>
      <c r="O218" s="178"/>
      <c r="P218" s="178"/>
      <c r="Q218" s="171">
        <f>AS218</f>
        <v>0</v>
      </c>
      <c r="R218" s="171">
        <f>AT218</f>
        <v>0</v>
      </c>
      <c r="S218" s="172">
        <f>AU218</f>
        <v>0</v>
      </c>
      <c r="U218" s="144">
        <f>IF(OR(C217=5,C218=5),0,1)</f>
        <v>1</v>
      </c>
      <c r="V218" s="144">
        <f t="shared" si="60"/>
        <v>0</v>
      </c>
      <c r="W218" s="144">
        <f t="shared" si="61"/>
        <v>0</v>
      </c>
      <c r="X218" s="144">
        <f t="shared" si="52"/>
        <v>0</v>
      </c>
      <c r="Y218" s="144">
        <f t="shared" si="62"/>
        <v>34.464599999999997</v>
      </c>
      <c r="Z218" s="169">
        <f t="shared" si="54"/>
        <v>0</v>
      </c>
      <c r="AA218" s="274">
        <f t="shared" si="55"/>
        <v>0</v>
      </c>
      <c r="AB218" s="169">
        <f t="shared" si="63"/>
        <v>0</v>
      </c>
      <c r="AC218" s="274">
        <f t="shared" si="56"/>
        <v>0</v>
      </c>
      <c r="AD218" s="169">
        <f t="shared" si="57"/>
        <v>0</v>
      </c>
      <c r="AE218" s="274">
        <f t="shared" si="58"/>
        <v>0</v>
      </c>
      <c r="AF218" s="169">
        <f t="shared" si="64"/>
        <v>0</v>
      </c>
      <c r="AG218" s="274">
        <f t="shared" si="59"/>
        <v>0</v>
      </c>
      <c r="AH218" s="169">
        <f t="shared" si="65"/>
        <v>0</v>
      </c>
      <c r="AI218" s="169"/>
      <c r="AJ218" s="169">
        <f t="shared" si="66"/>
        <v>0</v>
      </c>
      <c r="AK218" s="169">
        <f t="shared" si="67"/>
        <v>0</v>
      </c>
      <c r="AL218" s="169"/>
      <c r="AM218" s="169">
        <f>AK217*W217+AK218*W218</f>
        <v>0</v>
      </c>
      <c r="AN218" s="169">
        <f>(SUM(AD217:AG217)*W217+SUM(AD218:AG218)*W218)*12*VLOOKUP(C218,JNovergang,3,1)</f>
        <v>0</v>
      </c>
      <c r="AO218" s="169">
        <f>AM218-AN218</f>
        <v>0</v>
      </c>
      <c r="AP218" s="169">
        <f>M218*(100+X218)%</f>
        <v>0</v>
      </c>
      <c r="AQ218" s="274">
        <f>ROUND(M218*F218,2)</f>
        <v>0</v>
      </c>
      <c r="AS218" s="274">
        <f>ROUND((AP218+AQ218)+AM218*(N218/12),0)</f>
        <v>0</v>
      </c>
      <c r="AT218" s="274">
        <f>ROUND(AM218*(O218/12),0)</f>
        <v>0</v>
      </c>
      <c r="AU218" s="274">
        <f>ROUND(AM218*(P218/12)*U218,0)</f>
        <v>0</v>
      </c>
      <c r="AW218" s="144">
        <f t="shared" si="68"/>
        <v>0</v>
      </c>
    </row>
    <row r="219" spans="1:49" x14ac:dyDescent="0.15">
      <c r="A219" s="173"/>
      <c r="B219" s="174"/>
      <c r="C219" s="174"/>
      <c r="D219" s="165" t="str">
        <f t="shared" si="53"/>
        <v xml:space="preserve"> </v>
      </c>
      <c r="E219" s="177"/>
      <c r="F219" s="287">
        <v>0</v>
      </c>
      <c r="G219" s="177">
        <v>37</v>
      </c>
      <c r="H219" s="177">
        <v>37</v>
      </c>
      <c r="I219" s="177"/>
      <c r="J219" s="179"/>
      <c r="K219" s="177"/>
      <c r="L219" s="179"/>
      <c r="M219" s="166"/>
      <c r="N219" s="166"/>
      <c r="O219" s="166"/>
      <c r="P219" s="166"/>
      <c r="Q219" s="167"/>
      <c r="R219" s="167"/>
      <c r="S219" s="168"/>
      <c r="V219" s="144">
        <f t="shared" si="60"/>
        <v>0</v>
      </c>
      <c r="W219" s="144">
        <f t="shared" si="61"/>
        <v>0</v>
      </c>
      <c r="X219" s="144">
        <f t="shared" si="52"/>
        <v>0</v>
      </c>
      <c r="Y219" s="144">
        <f t="shared" si="62"/>
        <v>34.464599999999997</v>
      </c>
      <c r="Z219" s="169">
        <f t="shared" si="54"/>
        <v>0</v>
      </c>
      <c r="AA219" s="274">
        <f t="shared" si="55"/>
        <v>0</v>
      </c>
      <c r="AB219" s="169">
        <f t="shared" si="63"/>
        <v>0</v>
      </c>
      <c r="AC219" s="274">
        <f t="shared" si="56"/>
        <v>0</v>
      </c>
      <c r="AD219" s="169">
        <f t="shared" si="57"/>
        <v>0</v>
      </c>
      <c r="AE219" s="274">
        <f t="shared" si="58"/>
        <v>0</v>
      </c>
      <c r="AF219" s="169">
        <f t="shared" si="64"/>
        <v>0</v>
      </c>
      <c r="AG219" s="274">
        <f t="shared" si="59"/>
        <v>0</v>
      </c>
      <c r="AH219" s="169">
        <f t="shared" si="65"/>
        <v>0</v>
      </c>
      <c r="AI219" s="169"/>
      <c r="AJ219" s="169">
        <f t="shared" si="66"/>
        <v>0</v>
      </c>
      <c r="AK219" s="169">
        <f t="shared" si="67"/>
        <v>0</v>
      </c>
      <c r="AL219" s="169"/>
      <c r="AM219" s="169"/>
      <c r="AN219" s="169"/>
      <c r="AQ219" s="169"/>
      <c r="AW219" s="144">
        <f t="shared" si="68"/>
        <v>0</v>
      </c>
    </row>
    <row r="220" spans="1:49" ht="9.75" thickBot="1" x14ac:dyDescent="0.2">
      <c r="A220" s="175"/>
      <c r="B220" s="176"/>
      <c r="C220" s="176"/>
      <c r="D220" s="170" t="str">
        <f t="shared" si="53"/>
        <v xml:space="preserve"> </v>
      </c>
      <c r="E220" s="178"/>
      <c r="F220" s="288">
        <v>0</v>
      </c>
      <c r="G220" s="178">
        <v>37</v>
      </c>
      <c r="H220" s="178">
        <v>37</v>
      </c>
      <c r="I220" s="178"/>
      <c r="J220" s="180"/>
      <c r="K220" s="178"/>
      <c r="L220" s="180"/>
      <c r="M220" s="180"/>
      <c r="N220" s="178"/>
      <c r="O220" s="178"/>
      <c r="P220" s="178"/>
      <c r="Q220" s="171">
        <f>AS220</f>
        <v>0</v>
      </c>
      <c r="R220" s="171">
        <f>AT220</f>
        <v>0</v>
      </c>
      <c r="S220" s="172">
        <f>AU220</f>
        <v>0</v>
      </c>
      <c r="U220" s="144">
        <f>IF(OR(C219=5,C220=5),0,1)</f>
        <v>1</v>
      </c>
      <c r="V220" s="144">
        <f t="shared" si="60"/>
        <v>0</v>
      </c>
      <c r="W220" s="144">
        <f t="shared" si="61"/>
        <v>0</v>
      </c>
      <c r="X220" s="144">
        <f t="shared" si="52"/>
        <v>0</v>
      </c>
      <c r="Y220" s="144">
        <f t="shared" si="62"/>
        <v>34.464599999999997</v>
      </c>
      <c r="Z220" s="169">
        <f t="shared" si="54"/>
        <v>0</v>
      </c>
      <c r="AA220" s="274">
        <f t="shared" si="55"/>
        <v>0</v>
      </c>
      <c r="AB220" s="169">
        <f t="shared" si="63"/>
        <v>0</v>
      </c>
      <c r="AC220" s="274">
        <f t="shared" si="56"/>
        <v>0</v>
      </c>
      <c r="AD220" s="169">
        <f t="shared" si="57"/>
        <v>0</v>
      </c>
      <c r="AE220" s="274">
        <f t="shared" si="58"/>
        <v>0</v>
      </c>
      <c r="AF220" s="169">
        <f t="shared" si="64"/>
        <v>0</v>
      </c>
      <c r="AG220" s="274">
        <f t="shared" si="59"/>
        <v>0</v>
      </c>
      <c r="AH220" s="169">
        <f t="shared" si="65"/>
        <v>0</v>
      </c>
      <c r="AI220" s="169"/>
      <c r="AJ220" s="169">
        <f t="shared" si="66"/>
        <v>0</v>
      </c>
      <c r="AK220" s="169">
        <f t="shared" si="67"/>
        <v>0</v>
      </c>
      <c r="AL220" s="169"/>
      <c r="AM220" s="169">
        <f>AK219*W219+AK220*W220</f>
        <v>0</v>
      </c>
      <c r="AN220" s="169">
        <f>(SUM(AD219:AG219)*W219+SUM(AD220:AG220)*W220)*12*VLOOKUP(C220,JNovergang,3,1)</f>
        <v>0</v>
      </c>
      <c r="AO220" s="169">
        <f>AM220-AN220</f>
        <v>0</v>
      </c>
      <c r="AP220" s="169">
        <f>M220*(100+X220)%</f>
        <v>0</v>
      </c>
      <c r="AQ220" s="274">
        <f>ROUND(M220*F220,2)</f>
        <v>0</v>
      </c>
      <c r="AS220" s="274">
        <f>ROUND((AP220+AQ220)+AM220*(N220/12),0)</f>
        <v>0</v>
      </c>
      <c r="AT220" s="274">
        <f>ROUND(AM220*(O220/12),0)</f>
        <v>0</v>
      </c>
      <c r="AU220" s="274">
        <f>ROUND(AM220*(P220/12)*U220,0)</f>
        <v>0</v>
      </c>
      <c r="AW220" s="144">
        <f t="shared" si="68"/>
        <v>0</v>
      </c>
    </row>
    <row r="221" spans="1:49" x14ac:dyDescent="0.15">
      <c r="A221" s="173"/>
      <c r="B221" s="174"/>
      <c r="C221" s="174"/>
      <c r="D221" s="165" t="str">
        <f t="shared" si="53"/>
        <v xml:space="preserve"> </v>
      </c>
      <c r="E221" s="177"/>
      <c r="F221" s="287">
        <v>0</v>
      </c>
      <c r="G221" s="177">
        <v>37</v>
      </c>
      <c r="H221" s="177">
        <v>37</v>
      </c>
      <c r="I221" s="177"/>
      <c r="J221" s="179"/>
      <c r="K221" s="177"/>
      <c r="L221" s="179"/>
      <c r="M221" s="166"/>
      <c r="N221" s="166"/>
      <c r="O221" s="166"/>
      <c r="P221" s="166"/>
      <c r="Q221" s="167"/>
      <c r="R221" s="167"/>
      <c r="S221" s="168"/>
      <c r="V221" s="144">
        <f t="shared" si="60"/>
        <v>0</v>
      </c>
      <c r="W221" s="144">
        <f t="shared" si="61"/>
        <v>0</v>
      </c>
      <c r="X221" s="144">
        <f t="shared" si="52"/>
        <v>0</v>
      </c>
      <c r="Y221" s="144">
        <f t="shared" si="62"/>
        <v>34.464599999999997</v>
      </c>
      <c r="Z221" s="169">
        <f t="shared" si="54"/>
        <v>0</v>
      </c>
      <c r="AA221" s="274">
        <f t="shared" si="55"/>
        <v>0</v>
      </c>
      <c r="AB221" s="169">
        <f t="shared" si="63"/>
        <v>0</v>
      </c>
      <c r="AC221" s="274">
        <f t="shared" si="56"/>
        <v>0</v>
      </c>
      <c r="AD221" s="169">
        <f t="shared" si="57"/>
        <v>0</v>
      </c>
      <c r="AE221" s="274">
        <f t="shared" si="58"/>
        <v>0</v>
      </c>
      <c r="AF221" s="169">
        <f t="shared" si="64"/>
        <v>0</v>
      </c>
      <c r="AG221" s="274">
        <f t="shared" si="59"/>
        <v>0</v>
      </c>
      <c r="AH221" s="169">
        <f t="shared" si="65"/>
        <v>0</v>
      </c>
      <c r="AI221" s="169"/>
      <c r="AJ221" s="169">
        <f t="shared" si="66"/>
        <v>0</v>
      </c>
      <c r="AK221" s="169">
        <f t="shared" si="67"/>
        <v>0</v>
      </c>
      <c r="AL221" s="169"/>
      <c r="AM221" s="169"/>
      <c r="AN221" s="169"/>
      <c r="AQ221" s="169"/>
      <c r="AW221" s="144">
        <f t="shared" si="68"/>
        <v>0</v>
      </c>
    </row>
    <row r="222" spans="1:49" ht="9.75" thickBot="1" x14ac:dyDescent="0.2">
      <c r="A222" s="175"/>
      <c r="B222" s="176"/>
      <c r="C222" s="176"/>
      <c r="D222" s="170" t="str">
        <f t="shared" si="53"/>
        <v xml:space="preserve"> </v>
      </c>
      <c r="E222" s="178"/>
      <c r="F222" s="288">
        <v>0</v>
      </c>
      <c r="G222" s="178">
        <v>37</v>
      </c>
      <c r="H222" s="178">
        <v>37</v>
      </c>
      <c r="I222" s="178"/>
      <c r="J222" s="180"/>
      <c r="K222" s="178"/>
      <c r="L222" s="180"/>
      <c r="M222" s="180"/>
      <c r="N222" s="178"/>
      <c r="O222" s="178"/>
      <c r="P222" s="178"/>
      <c r="Q222" s="171">
        <f>AS222</f>
        <v>0</v>
      </c>
      <c r="R222" s="171">
        <f>AT222</f>
        <v>0</v>
      </c>
      <c r="S222" s="172">
        <f>AU222</f>
        <v>0</v>
      </c>
      <c r="U222" s="144">
        <f>IF(OR(C221=5,C222=5),0,1)</f>
        <v>1</v>
      </c>
      <c r="V222" s="144">
        <f t="shared" si="60"/>
        <v>0</v>
      </c>
      <c r="W222" s="144">
        <f t="shared" si="61"/>
        <v>0</v>
      </c>
      <c r="X222" s="144">
        <f t="shared" si="52"/>
        <v>0</v>
      </c>
      <c r="Y222" s="144">
        <f t="shared" si="62"/>
        <v>34.464599999999997</v>
      </c>
      <c r="Z222" s="169">
        <f t="shared" si="54"/>
        <v>0</v>
      </c>
      <c r="AA222" s="274">
        <f t="shared" si="55"/>
        <v>0</v>
      </c>
      <c r="AB222" s="169">
        <f t="shared" si="63"/>
        <v>0</v>
      </c>
      <c r="AC222" s="274">
        <f t="shared" si="56"/>
        <v>0</v>
      </c>
      <c r="AD222" s="169">
        <f t="shared" si="57"/>
        <v>0</v>
      </c>
      <c r="AE222" s="274">
        <f t="shared" si="58"/>
        <v>0</v>
      </c>
      <c r="AF222" s="169">
        <f t="shared" si="64"/>
        <v>0</v>
      </c>
      <c r="AG222" s="274">
        <f t="shared" si="59"/>
        <v>0</v>
      </c>
      <c r="AH222" s="169">
        <f t="shared" si="65"/>
        <v>0</v>
      </c>
      <c r="AI222" s="169"/>
      <c r="AJ222" s="169">
        <f t="shared" si="66"/>
        <v>0</v>
      </c>
      <c r="AK222" s="169">
        <f t="shared" si="67"/>
        <v>0</v>
      </c>
      <c r="AL222" s="169"/>
      <c r="AM222" s="169">
        <f>AK221*W221+AK222*W222</f>
        <v>0</v>
      </c>
      <c r="AN222" s="169">
        <f>(SUM(AD221:AG221)*W221+SUM(AD222:AG222)*W222)*12*VLOOKUP(C222,JNovergang,3,1)</f>
        <v>0</v>
      </c>
      <c r="AO222" s="169">
        <f>AM222-AN222</f>
        <v>0</v>
      </c>
      <c r="AP222" s="169">
        <f>M222*(100+X222)%</f>
        <v>0</v>
      </c>
      <c r="AQ222" s="274">
        <f>ROUND(M222*F222,2)</f>
        <v>0</v>
      </c>
      <c r="AS222" s="274">
        <f>ROUND((AP222+AQ222)+AM222*(N222/12),0)</f>
        <v>0</v>
      </c>
      <c r="AT222" s="274">
        <f>ROUND(AM222*(O222/12),0)</f>
        <v>0</v>
      </c>
      <c r="AU222" s="274">
        <f>ROUND(AM222*(P222/12)*U222,0)</f>
        <v>0</v>
      </c>
      <c r="AW222" s="144">
        <f t="shared" si="68"/>
        <v>0</v>
      </c>
    </row>
    <row r="223" spans="1:49" x14ac:dyDescent="0.15">
      <c r="A223" s="173"/>
      <c r="B223" s="174"/>
      <c r="C223" s="174"/>
      <c r="D223" s="165" t="str">
        <f t="shared" si="53"/>
        <v xml:space="preserve"> </v>
      </c>
      <c r="E223" s="177"/>
      <c r="F223" s="287">
        <v>0</v>
      </c>
      <c r="G223" s="177">
        <v>37</v>
      </c>
      <c r="H223" s="177">
        <v>37</v>
      </c>
      <c r="I223" s="177"/>
      <c r="J223" s="179"/>
      <c r="K223" s="177"/>
      <c r="L223" s="179"/>
      <c r="M223" s="166"/>
      <c r="N223" s="166"/>
      <c r="O223" s="166"/>
      <c r="P223" s="166"/>
      <c r="Q223" s="167"/>
      <c r="R223" s="167"/>
      <c r="S223" s="168"/>
      <c r="V223" s="144">
        <f t="shared" si="60"/>
        <v>0</v>
      </c>
      <c r="W223" s="144">
        <f t="shared" si="61"/>
        <v>0</v>
      </c>
      <c r="X223" s="144">
        <f t="shared" si="52"/>
        <v>0</v>
      </c>
      <c r="Y223" s="144">
        <f t="shared" si="62"/>
        <v>34.464599999999997</v>
      </c>
      <c r="Z223" s="169">
        <f t="shared" si="54"/>
        <v>0</v>
      </c>
      <c r="AA223" s="274">
        <f t="shared" si="55"/>
        <v>0</v>
      </c>
      <c r="AB223" s="169">
        <f t="shared" si="63"/>
        <v>0</v>
      </c>
      <c r="AC223" s="274">
        <f t="shared" si="56"/>
        <v>0</v>
      </c>
      <c r="AD223" s="169">
        <f t="shared" si="57"/>
        <v>0</v>
      </c>
      <c r="AE223" s="274">
        <f t="shared" si="58"/>
        <v>0</v>
      </c>
      <c r="AF223" s="169">
        <f t="shared" si="64"/>
        <v>0</v>
      </c>
      <c r="AG223" s="274">
        <f t="shared" si="59"/>
        <v>0</v>
      </c>
      <c r="AH223" s="169">
        <f t="shared" si="65"/>
        <v>0</v>
      </c>
      <c r="AI223" s="169"/>
      <c r="AJ223" s="169">
        <f t="shared" si="66"/>
        <v>0</v>
      </c>
      <c r="AK223" s="169">
        <f t="shared" si="67"/>
        <v>0</v>
      </c>
      <c r="AL223" s="169"/>
      <c r="AM223" s="169"/>
      <c r="AN223" s="169"/>
      <c r="AQ223" s="169"/>
      <c r="AW223" s="144">
        <f t="shared" si="68"/>
        <v>0</v>
      </c>
    </row>
    <row r="224" spans="1:49" ht="9.75" thickBot="1" x14ac:dyDescent="0.2">
      <c r="A224" s="175"/>
      <c r="B224" s="176"/>
      <c r="C224" s="176"/>
      <c r="D224" s="170" t="str">
        <f t="shared" si="53"/>
        <v xml:space="preserve"> </v>
      </c>
      <c r="E224" s="178"/>
      <c r="F224" s="288">
        <v>0</v>
      </c>
      <c r="G224" s="178">
        <v>37</v>
      </c>
      <c r="H224" s="178">
        <v>37</v>
      </c>
      <c r="I224" s="178"/>
      <c r="J224" s="180"/>
      <c r="K224" s="178"/>
      <c r="L224" s="180"/>
      <c r="M224" s="180"/>
      <c r="N224" s="178"/>
      <c r="O224" s="178"/>
      <c r="P224" s="178"/>
      <c r="Q224" s="171">
        <f>AS224</f>
        <v>0</v>
      </c>
      <c r="R224" s="171">
        <f>AT224</f>
        <v>0</v>
      </c>
      <c r="S224" s="172">
        <f>AU224</f>
        <v>0</v>
      </c>
      <c r="U224" s="144">
        <f>IF(OR(C223=5,C224=5),0,1)</f>
        <v>1</v>
      </c>
      <c r="V224" s="144">
        <f t="shared" si="60"/>
        <v>0</v>
      </c>
      <c r="W224" s="144">
        <f t="shared" si="61"/>
        <v>0</v>
      </c>
      <c r="X224" s="144">
        <f t="shared" si="52"/>
        <v>0</v>
      </c>
      <c r="Y224" s="144">
        <f t="shared" si="62"/>
        <v>34.464599999999997</v>
      </c>
      <c r="Z224" s="169">
        <f t="shared" si="54"/>
        <v>0</v>
      </c>
      <c r="AA224" s="274">
        <f t="shared" si="55"/>
        <v>0</v>
      </c>
      <c r="AB224" s="169">
        <f t="shared" si="63"/>
        <v>0</v>
      </c>
      <c r="AC224" s="274">
        <f t="shared" si="56"/>
        <v>0</v>
      </c>
      <c r="AD224" s="169">
        <f t="shared" si="57"/>
        <v>0</v>
      </c>
      <c r="AE224" s="274">
        <f t="shared" si="58"/>
        <v>0</v>
      </c>
      <c r="AF224" s="169">
        <f t="shared" si="64"/>
        <v>0</v>
      </c>
      <c r="AG224" s="274">
        <f t="shared" si="59"/>
        <v>0</v>
      </c>
      <c r="AH224" s="169">
        <f t="shared" si="65"/>
        <v>0</v>
      </c>
      <c r="AI224" s="169"/>
      <c r="AJ224" s="169">
        <f t="shared" si="66"/>
        <v>0</v>
      </c>
      <c r="AK224" s="169">
        <f t="shared" si="67"/>
        <v>0</v>
      </c>
      <c r="AL224" s="169"/>
      <c r="AM224" s="169">
        <f>AK223*W223+AK224*W224</f>
        <v>0</v>
      </c>
      <c r="AN224" s="169">
        <f>(SUM(AD223:AG223)*W223+SUM(AD224:AG224)*W224)*12*VLOOKUP(C224,JNovergang,3,1)</f>
        <v>0</v>
      </c>
      <c r="AO224" s="169">
        <f>AM224-AN224</f>
        <v>0</v>
      </c>
      <c r="AP224" s="169">
        <f>M224*(100+X224)%</f>
        <v>0</v>
      </c>
      <c r="AQ224" s="274">
        <f>ROUND(M224*F224,2)</f>
        <v>0</v>
      </c>
      <c r="AS224" s="274">
        <f>ROUND((AP224+AQ224)+AM224*(N224/12),0)</f>
        <v>0</v>
      </c>
      <c r="AT224" s="274">
        <f>ROUND(AM224*(O224/12),0)</f>
        <v>0</v>
      </c>
      <c r="AU224" s="274">
        <f>ROUND(AM224*(P224/12)*U224,0)</f>
        <v>0</v>
      </c>
      <c r="AW224" s="144">
        <f t="shared" si="68"/>
        <v>0</v>
      </c>
    </row>
    <row r="225" spans="1:49" x14ac:dyDescent="0.15">
      <c r="A225" s="173"/>
      <c r="B225" s="174"/>
      <c r="C225" s="174"/>
      <c r="D225" s="165" t="str">
        <f t="shared" si="53"/>
        <v xml:space="preserve"> </v>
      </c>
      <c r="E225" s="177"/>
      <c r="F225" s="287">
        <v>0</v>
      </c>
      <c r="G225" s="177">
        <v>37</v>
      </c>
      <c r="H225" s="177">
        <v>37</v>
      </c>
      <c r="I225" s="177"/>
      <c r="J225" s="179"/>
      <c r="K225" s="177"/>
      <c r="L225" s="179"/>
      <c r="M225" s="166"/>
      <c r="N225" s="166"/>
      <c r="O225" s="166"/>
      <c r="P225" s="166"/>
      <c r="Q225" s="167"/>
      <c r="R225" s="167"/>
      <c r="S225" s="168"/>
      <c r="V225" s="144">
        <f t="shared" si="60"/>
        <v>0</v>
      </c>
      <c r="W225" s="144">
        <f t="shared" si="61"/>
        <v>0</v>
      </c>
      <c r="X225" s="144">
        <f t="shared" si="52"/>
        <v>0</v>
      </c>
      <c r="Y225" s="144">
        <f t="shared" si="62"/>
        <v>34.464599999999997</v>
      </c>
      <c r="Z225" s="169">
        <f t="shared" si="54"/>
        <v>0</v>
      </c>
      <c r="AA225" s="274">
        <f t="shared" si="55"/>
        <v>0</v>
      </c>
      <c r="AB225" s="169">
        <f t="shared" si="63"/>
        <v>0</v>
      </c>
      <c r="AC225" s="274">
        <f t="shared" si="56"/>
        <v>0</v>
      </c>
      <c r="AD225" s="169">
        <f t="shared" si="57"/>
        <v>0</v>
      </c>
      <c r="AE225" s="274">
        <f t="shared" si="58"/>
        <v>0</v>
      </c>
      <c r="AF225" s="169">
        <f t="shared" si="64"/>
        <v>0</v>
      </c>
      <c r="AG225" s="274">
        <f t="shared" si="59"/>
        <v>0</v>
      </c>
      <c r="AH225" s="169">
        <f t="shared" si="65"/>
        <v>0</v>
      </c>
      <c r="AI225" s="169"/>
      <c r="AJ225" s="169">
        <f t="shared" si="66"/>
        <v>0</v>
      </c>
      <c r="AK225" s="169">
        <f t="shared" si="67"/>
        <v>0</v>
      </c>
      <c r="AL225" s="169"/>
      <c r="AM225" s="169"/>
      <c r="AN225" s="169"/>
      <c r="AQ225" s="169"/>
      <c r="AW225" s="144">
        <f t="shared" si="68"/>
        <v>0</v>
      </c>
    </row>
    <row r="226" spans="1:49" ht="9.75" thickBot="1" x14ac:dyDescent="0.2">
      <c r="A226" s="175"/>
      <c r="B226" s="176"/>
      <c r="C226" s="176"/>
      <c r="D226" s="170" t="str">
        <f t="shared" si="53"/>
        <v xml:space="preserve"> </v>
      </c>
      <c r="E226" s="178"/>
      <c r="F226" s="288">
        <v>0</v>
      </c>
      <c r="G226" s="178">
        <v>37</v>
      </c>
      <c r="H226" s="178">
        <v>37</v>
      </c>
      <c r="I226" s="178"/>
      <c r="J226" s="180"/>
      <c r="K226" s="178"/>
      <c r="L226" s="180"/>
      <c r="M226" s="180"/>
      <c r="N226" s="178"/>
      <c r="O226" s="178"/>
      <c r="P226" s="178"/>
      <c r="Q226" s="171">
        <f>AS226</f>
        <v>0</v>
      </c>
      <c r="R226" s="171">
        <f>AT226</f>
        <v>0</v>
      </c>
      <c r="S226" s="172">
        <f>AU226</f>
        <v>0</v>
      </c>
      <c r="U226" s="144">
        <f>IF(OR(C225=5,C226=5),0,1)</f>
        <v>1</v>
      </c>
      <c r="V226" s="144">
        <f t="shared" si="60"/>
        <v>0</v>
      </c>
      <c r="W226" s="144">
        <f t="shared" si="61"/>
        <v>0</v>
      </c>
      <c r="X226" s="144">
        <f t="shared" si="52"/>
        <v>0</v>
      </c>
      <c r="Y226" s="144">
        <f t="shared" si="62"/>
        <v>34.464599999999997</v>
      </c>
      <c r="Z226" s="169">
        <f t="shared" si="54"/>
        <v>0</v>
      </c>
      <c r="AA226" s="274">
        <f t="shared" si="55"/>
        <v>0</v>
      </c>
      <c r="AB226" s="169">
        <f t="shared" si="63"/>
        <v>0</v>
      </c>
      <c r="AC226" s="274">
        <f t="shared" si="56"/>
        <v>0</v>
      </c>
      <c r="AD226" s="169">
        <f t="shared" si="57"/>
        <v>0</v>
      </c>
      <c r="AE226" s="274">
        <f t="shared" si="58"/>
        <v>0</v>
      </c>
      <c r="AF226" s="169">
        <f t="shared" si="64"/>
        <v>0</v>
      </c>
      <c r="AG226" s="274">
        <f t="shared" si="59"/>
        <v>0</v>
      </c>
      <c r="AH226" s="169">
        <f t="shared" si="65"/>
        <v>0</v>
      </c>
      <c r="AI226" s="169"/>
      <c r="AJ226" s="169">
        <f t="shared" si="66"/>
        <v>0</v>
      </c>
      <c r="AK226" s="169">
        <f t="shared" si="67"/>
        <v>0</v>
      </c>
      <c r="AL226" s="169"/>
      <c r="AM226" s="169">
        <f>AK225*W225+AK226*W226</f>
        <v>0</v>
      </c>
      <c r="AN226" s="169">
        <f>(SUM(AD225:AG225)*W225+SUM(AD226:AG226)*W226)*12*VLOOKUP(C226,JNovergang,3,1)</f>
        <v>0</v>
      </c>
      <c r="AO226" s="169">
        <f>AM226-AN226</f>
        <v>0</v>
      </c>
      <c r="AP226" s="169">
        <f>M226*(100+X226)%</f>
        <v>0</v>
      </c>
      <c r="AQ226" s="274">
        <f>ROUND(M226*F226,2)</f>
        <v>0</v>
      </c>
      <c r="AS226" s="274">
        <f>ROUND((AP226+AQ226)+AM226*(N226/12),0)</f>
        <v>0</v>
      </c>
      <c r="AT226" s="274">
        <f>ROUND(AM226*(O226/12),0)</f>
        <v>0</v>
      </c>
      <c r="AU226" s="274">
        <f>ROUND(AM226*(P226/12)*U226,0)</f>
        <v>0</v>
      </c>
      <c r="AW226" s="144">
        <f t="shared" si="68"/>
        <v>0</v>
      </c>
    </row>
    <row r="227" spans="1:49" x14ac:dyDescent="0.15">
      <c r="A227" s="173"/>
      <c r="B227" s="174"/>
      <c r="C227" s="174"/>
      <c r="D227" s="165" t="str">
        <f t="shared" si="53"/>
        <v xml:space="preserve"> </v>
      </c>
      <c r="E227" s="177"/>
      <c r="F227" s="287">
        <v>0</v>
      </c>
      <c r="G227" s="177">
        <v>37</v>
      </c>
      <c r="H227" s="177">
        <v>37</v>
      </c>
      <c r="I227" s="177"/>
      <c r="J227" s="179"/>
      <c r="K227" s="177"/>
      <c r="L227" s="179"/>
      <c r="M227" s="166"/>
      <c r="N227" s="166"/>
      <c r="O227" s="166"/>
      <c r="P227" s="166"/>
      <c r="Q227" s="167"/>
      <c r="R227" s="167"/>
      <c r="S227" s="168"/>
      <c r="V227" s="144">
        <f t="shared" si="60"/>
        <v>0</v>
      </c>
      <c r="W227" s="144">
        <f t="shared" si="61"/>
        <v>0</v>
      </c>
      <c r="X227" s="144">
        <f t="shared" si="52"/>
        <v>0</v>
      </c>
      <c r="Y227" s="144">
        <f t="shared" si="62"/>
        <v>34.464599999999997</v>
      </c>
      <c r="Z227" s="169">
        <f t="shared" si="54"/>
        <v>0</v>
      </c>
      <c r="AA227" s="274">
        <f t="shared" si="55"/>
        <v>0</v>
      </c>
      <c r="AB227" s="169">
        <f t="shared" si="63"/>
        <v>0</v>
      </c>
      <c r="AC227" s="274">
        <f t="shared" si="56"/>
        <v>0</v>
      </c>
      <c r="AD227" s="169">
        <f t="shared" si="57"/>
        <v>0</v>
      </c>
      <c r="AE227" s="274">
        <f t="shared" si="58"/>
        <v>0</v>
      </c>
      <c r="AF227" s="169">
        <f t="shared" si="64"/>
        <v>0</v>
      </c>
      <c r="AG227" s="274">
        <f t="shared" si="59"/>
        <v>0</v>
      </c>
      <c r="AH227" s="169">
        <f t="shared" si="65"/>
        <v>0</v>
      </c>
      <c r="AI227" s="169"/>
      <c r="AJ227" s="169">
        <f t="shared" si="66"/>
        <v>0</v>
      </c>
      <c r="AK227" s="169">
        <f t="shared" si="67"/>
        <v>0</v>
      </c>
      <c r="AL227" s="169"/>
      <c r="AM227" s="169"/>
      <c r="AN227" s="169"/>
      <c r="AQ227" s="169"/>
      <c r="AW227" s="144">
        <f t="shared" si="68"/>
        <v>0</v>
      </c>
    </row>
    <row r="228" spans="1:49" ht="9.75" thickBot="1" x14ac:dyDescent="0.2">
      <c r="A228" s="175"/>
      <c r="B228" s="176"/>
      <c r="C228" s="176"/>
      <c r="D228" s="170" t="str">
        <f t="shared" si="53"/>
        <v xml:space="preserve"> </v>
      </c>
      <c r="E228" s="178"/>
      <c r="F228" s="288">
        <v>0</v>
      </c>
      <c r="G228" s="178">
        <v>37</v>
      </c>
      <c r="H228" s="178">
        <v>37</v>
      </c>
      <c r="I228" s="178"/>
      <c r="J228" s="180"/>
      <c r="K228" s="178"/>
      <c r="L228" s="180"/>
      <c r="M228" s="180"/>
      <c r="N228" s="178"/>
      <c r="O228" s="178"/>
      <c r="P228" s="178"/>
      <c r="Q228" s="171">
        <f>AS228</f>
        <v>0</v>
      </c>
      <c r="R228" s="171">
        <f>AT228</f>
        <v>0</v>
      </c>
      <c r="S228" s="172">
        <f>AU228</f>
        <v>0</v>
      </c>
      <c r="U228" s="144">
        <f>IF(OR(C227=5,C228=5),0,1)</f>
        <v>1</v>
      </c>
      <c r="V228" s="144">
        <f t="shared" si="60"/>
        <v>0</v>
      </c>
      <c r="W228" s="144">
        <f t="shared" si="61"/>
        <v>0</v>
      </c>
      <c r="X228" s="144">
        <f t="shared" si="52"/>
        <v>0</v>
      </c>
      <c r="Y228" s="144">
        <f t="shared" si="62"/>
        <v>34.464599999999997</v>
      </c>
      <c r="Z228" s="169">
        <f t="shared" si="54"/>
        <v>0</v>
      </c>
      <c r="AA228" s="274">
        <f t="shared" si="55"/>
        <v>0</v>
      </c>
      <c r="AB228" s="169">
        <f t="shared" si="63"/>
        <v>0</v>
      </c>
      <c r="AC228" s="274">
        <f t="shared" si="56"/>
        <v>0</v>
      </c>
      <c r="AD228" s="169">
        <f t="shared" si="57"/>
        <v>0</v>
      </c>
      <c r="AE228" s="274">
        <f t="shared" si="58"/>
        <v>0</v>
      </c>
      <c r="AF228" s="169">
        <f t="shared" si="64"/>
        <v>0</v>
      </c>
      <c r="AG228" s="274">
        <f t="shared" si="59"/>
        <v>0</v>
      </c>
      <c r="AH228" s="169">
        <f t="shared" si="65"/>
        <v>0</v>
      </c>
      <c r="AI228" s="169"/>
      <c r="AJ228" s="169">
        <f t="shared" si="66"/>
        <v>0</v>
      </c>
      <c r="AK228" s="169">
        <f t="shared" si="67"/>
        <v>0</v>
      </c>
      <c r="AL228" s="169"/>
      <c r="AM228" s="169">
        <f>AK227*W227+AK228*W228</f>
        <v>0</v>
      </c>
      <c r="AN228" s="169">
        <f>(SUM(AD227:AG227)*W227+SUM(AD228:AG228)*W228)*12*VLOOKUP(C228,JNovergang,3,1)</f>
        <v>0</v>
      </c>
      <c r="AO228" s="169">
        <f>AM228-AN228</f>
        <v>0</v>
      </c>
      <c r="AP228" s="169">
        <f>M228*(100+X228)%</f>
        <v>0</v>
      </c>
      <c r="AQ228" s="274">
        <f>ROUND(M228*F228,2)</f>
        <v>0</v>
      </c>
      <c r="AS228" s="274">
        <f>ROUND((AP228+AQ228)+AM228*(N228/12),0)</f>
        <v>0</v>
      </c>
      <c r="AT228" s="274">
        <f>ROUND(AM228*(O228/12),0)</f>
        <v>0</v>
      </c>
      <c r="AU228" s="274">
        <f>ROUND(AM228*(P228/12)*U228,0)</f>
        <v>0</v>
      </c>
      <c r="AW228" s="144">
        <f t="shared" si="68"/>
        <v>0</v>
      </c>
    </row>
    <row r="229" spans="1:49" x14ac:dyDescent="0.15">
      <c r="A229" s="173"/>
      <c r="B229" s="174"/>
      <c r="C229" s="174"/>
      <c r="D229" s="165" t="str">
        <f t="shared" si="53"/>
        <v xml:space="preserve"> </v>
      </c>
      <c r="E229" s="177"/>
      <c r="F229" s="287">
        <v>0</v>
      </c>
      <c r="G229" s="177">
        <v>37</v>
      </c>
      <c r="H229" s="177">
        <v>37</v>
      </c>
      <c r="I229" s="177"/>
      <c r="J229" s="179"/>
      <c r="K229" s="177"/>
      <c r="L229" s="179"/>
      <c r="M229" s="166"/>
      <c r="N229" s="166"/>
      <c r="O229" s="166"/>
      <c r="P229" s="166"/>
      <c r="Q229" s="167"/>
      <c r="R229" s="167"/>
      <c r="S229" s="168"/>
      <c r="V229" s="144">
        <f t="shared" si="60"/>
        <v>0</v>
      </c>
      <c r="W229" s="144">
        <f t="shared" si="61"/>
        <v>0</v>
      </c>
      <c r="X229" s="144">
        <f t="shared" si="52"/>
        <v>0</v>
      </c>
      <c r="Y229" s="144">
        <f t="shared" si="62"/>
        <v>34.464599999999997</v>
      </c>
      <c r="Z229" s="169">
        <f t="shared" si="54"/>
        <v>0</v>
      </c>
      <c r="AA229" s="274">
        <f t="shared" si="55"/>
        <v>0</v>
      </c>
      <c r="AB229" s="169">
        <f t="shared" si="63"/>
        <v>0</v>
      </c>
      <c r="AC229" s="274">
        <f t="shared" si="56"/>
        <v>0</v>
      </c>
      <c r="AD229" s="169">
        <f t="shared" si="57"/>
        <v>0</v>
      </c>
      <c r="AE229" s="274">
        <f t="shared" si="58"/>
        <v>0</v>
      </c>
      <c r="AF229" s="169">
        <f t="shared" si="64"/>
        <v>0</v>
      </c>
      <c r="AG229" s="274">
        <f t="shared" si="59"/>
        <v>0</v>
      </c>
      <c r="AH229" s="169">
        <f t="shared" si="65"/>
        <v>0</v>
      </c>
      <c r="AI229" s="169"/>
      <c r="AJ229" s="169">
        <f t="shared" si="66"/>
        <v>0</v>
      </c>
      <c r="AK229" s="169">
        <f t="shared" si="67"/>
        <v>0</v>
      </c>
      <c r="AL229" s="169"/>
      <c r="AM229" s="169"/>
      <c r="AN229" s="169"/>
      <c r="AQ229" s="169"/>
      <c r="AW229" s="144">
        <f t="shared" si="68"/>
        <v>0</v>
      </c>
    </row>
    <row r="230" spans="1:49" ht="9.75" thickBot="1" x14ac:dyDescent="0.2">
      <c r="A230" s="175"/>
      <c r="B230" s="176"/>
      <c r="C230" s="176"/>
      <c r="D230" s="170" t="str">
        <f t="shared" si="53"/>
        <v xml:space="preserve"> </v>
      </c>
      <c r="E230" s="178"/>
      <c r="F230" s="288">
        <v>0</v>
      </c>
      <c r="G230" s="178">
        <v>37</v>
      </c>
      <c r="H230" s="178">
        <v>37</v>
      </c>
      <c r="I230" s="178"/>
      <c r="J230" s="180"/>
      <c r="K230" s="178"/>
      <c r="L230" s="180"/>
      <c r="M230" s="180"/>
      <c r="N230" s="178"/>
      <c r="O230" s="178"/>
      <c r="P230" s="178"/>
      <c r="Q230" s="171">
        <f>AS230</f>
        <v>0</v>
      </c>
      <c r="R230" s="171">
        <f>AT230</f>
        <v>0</v>
      </c>
      <c r="S230" s="172">
        <f>AU230</f>
        <v>0</v>
      </c>
      <c r="U230" s="144">
        <f>IF(OR(C229=5,C230=5),0,1)</f>
        <v>1</v>
      </c>
      <c r="V230" s="144">
        <f t="shared" si="60"/>
        <v>0</v>
      </c>
      <c r="W230" s="144">
        <f t="shared" si="61"/>
        <v>0</v>
      </c>
      <c r="X230" s="144">
        <f t="shared" si="52"/>
        <v>0</v>
      </c>
      <c r="Y230" s="144">
        <f t="shared" si="62"/>
        <v>34.464599999999997</v>
      </c>
      <c r="Z230" s="169">
        <f t="shared" si="54"/>
        <v>0</v>
      </c>
      <c r="AA230" s="274">
        <f t="shared" si="55"/>
        <v>0</v>
      </c>
      <c r="AB230" s="169">
        <f t="shared" si="63"/>
        <v>0</v>
      </c>
      <c r="AC230" s="274">
        <f t="shared" si="56"/>
        <v>0</v>
      </c>
      <c r="AD230" s="169">
        <f t="shared" si="57"/>
        <v>0</v>
      </c>
      <c r="AE230" s="274">
        <f t="shared" si="58"/>
        <v>0</v>
      </c>
      <c r="AF230" s="169">
        <f t="shared" si="64"/>
        <v>0</v>
      </c>
      <c r="AG230" s="274">
        <f t="shared" si="59"/>
        <v>0</v>
      </c>
      <c r="AH230" s="169">
        <f t="shared" si="65"/>
        <v>0</v>
      </c>
      <c r="AI230" s="169"/>
      <c r="AJ230" s="169">
        <f t="shared" si="66"/>
        <v>0</v>
      </c>
      <c r="AK230" s="169">
        <f t="shared" si="67"/>
        <v>0</v>
      </c>
      <c r="AL230" s="169"/>
      <c r="AM230" s="169">
        <f>AK229*W229+AK230*W230</f>
        <v>0</v>
      </c>
      <c r="AN230" s="169">
        <f>(SUM(AD229:AG229)*W229+SUM(AD230:AG230)*W230)*12*VLOOKUP(C230,JNovergang,3,1)</f>
        <v>0</v>
      </c>
      <c r="AO230" s="169">
        <f>AM230-AN230</f>
        <v>0</v>
      </c>
      <c r="AP230" s="169">
        <f>M230*(100+X230)%</f>
        <v>0</v>
      </c>
      <c r="AQ230" s="274">
        <f>ROUND(M230*F230,2)</f>
        <v>0</v>
      </c>
      <c r="AS230" s="274">
        <f>ROUND((AP230+AQ230)+AM230*(N230/12),0)</f>
        <v>0</v>
      </c>
      <c r="AT230" s="274">
        <f>ROUND(AM230*(O230/12),0)</f>
        <v>0</v>
      </c>
      <c r="AU230" s="274">
        <f>ROUND(AM230*(P230/12)*U230,0)</f>
        <v>0</v>
      </c>
      <c r="AW230" s="144">
        <f t="shared" si="68"/>
        <v>0</v>
      </c>
    </row>
    <row r="231" spans="1:49" x14ac:dyDescent="0.15">
      <c r="A231" s="173"/>
      <c r="B231" s="174"/>
      <c r="C231" s="174"/>
      <c r="D231" s="165" t="str">
        <f t="shared" si="53"/>
        <v xml:space="preserve"> </v>
      </c>
      <c r="E231" s="177"/>
      <c r="F231" s="287">
        <v>0</v>
      </c>
      <c r="G231" s="177">
        <v>37</v>
      </c>
      <c r="H231" s="177">
        <v>37</v>
      </c>
      <c r="I231" s="177"/>
      <c r="J231" s="179"/>
      <c r="K231" s="177"/>
      <c r="L231" s="179"/>
      <c r="M231" s="166"/>
      <c r="N231" s="166"/>
      <c r="O231" s="166"/>
      <c r="P231" s="166"/>
      <c r="Q231" s="167"/>
      <c r="R231" s="167"/>
      <c r="S231" s="168"/>
      <c r="V231" s="144">
        <f t="shared" si="60"/>
        <v>0</v>
      </c>
      <c r="W231" s="144">
        <f t="shared" si="61"/>
        <v>0</v>
      </c>
      <c r="X231" s="144">
        <f t="shared" si="52"/>
        <v>0</v>
      </c>
      <c r="Y231" s="144">
        <f t="shared" si="62"/>
        <v>34.464599999999997</v>
      </c>
      <c r="Z231" s="169">
        <f t="shared" si="54"/>
        <v>0</v>
      </c>
      <c r="AA231" s="274">
        <f t="shared" si="55"/>
        <v>0</v>
      </c>
      <c r="AB231" s="169">
        <f t="shared" si="63"/>
        <v>0</v>
      </c>
      <c r="AC231" s="274">
        <f t="shared" si="56"/>
        <v>0</v>
      </c>
      <c r="AD231" s="169">
        <f t="shared" si="57"/>
        <v>0</v>
      </c>
      <c r="AE231" s="274">
        <f t="shared" si="58"/>
        <v>0</v>
      </c>
      <c r="AF231" s="169">
        <f t="shared" si="64"/>
        <v>0</v>
      </c>
      <c r="AG231" s="274">
        <f t="shared" si="59"/>
        <v>0</v>
      </c>
      <c r="AH231" s="169">
        <f t="shared" si="65"/>
        <v>0</v>
      </c>
      <c r="AI231" s="169"/>
      <c r="AJ231" s="169">
        <f t="shared" si="66"/>
        <v>0</v>
      </c>
      <c r="AK231" s="169">
        <f t="shared" si="67"/>
        <v>0</v>
      </c>
      <c r="AL231" s="169"/>
      <c r="AM231" s="169"/>
      <c r="AN231" s="169"/>
      <c r="AQ231" s="169"/>
      <c r="AW231" s="144">
        <f t="shared" si="68"/>
        <v>0</v>
      </c>
    </row>
    <row r="232" spans="1:49" ht="9.75" thickBot="1" x14ac:dyDescent="0.2">
      <c r="A232" s="175"/>
      <c r="B232" s="176"/>
      <c r="C232" s="176"/>
      <c r="D232" s="170" t="str">
        <f t="shared" si="53"/>
        <v xml:space="preserve"> </v>
      </c>
      <c r="E232" s="178"/>
      <c r="F232" s="288">
        <v>0</v>
      </c>
      <c r="G232" s="178">
        <v>37</v>
      </c>
      <c r="H232" s="178">
        <v>37</v>
      </c>
      <c r="I232" s="178"/>
      <c r="J232" s="180"/>
      <c r="K232" s="178"/>
      <c r="L232" s="180"/>
      <c r="M232" s="180"/>
      <c r="N232" s="178"/>
      <c r="O232" s="178"/>
      <c r="P232" s="178"/>
      <c r="Q232" s="171">
        <f>AS232</f>
        <v>0</v>
      </c>
      <c r="R232" s="171">
        <f>AT232</f>
        <v>0</v>
      </c>
      <c r="S232" s="172">
        <f>AU232</f>
        <v>0</v>
      </c>
      <c r="U232" s="144">
        <f>IF(OR(C231=5,C232=5),0,1)</f>
        <v>1</v>
      </c>
      <c r="V232" s="144">
        <f t="shared" si="60"/>
        <v>0</v>
      </c>
      <c r="W232" s="144">
        <f t="shared" si="61"/>
        <v>0</v>
      </c>
      <c r="X232" s="144">
        <f t="shared" si="52"/>
        <v>0</v>
      </c>
      <c r="Y232" s="144">
        <f t="shared" si="62"/>
        <v>34.464599999999997</v>
      </c>
      <c r="Z232" s="169">
        <f t="shared" si="54"/>
        <v>0</v>
      </c>
      <c r="AA232" s="274">
        <f t="shared" si="55"/>
        <v>0</v>
      </c>
      <c r="AB232" s="169">
        <f t="shared" si="63"/>
        <v>0</v>
      </c>
      <c r="AC232" s="274">
        <f t="shared" si="56"/>
        <v>0</v>
      </c>
      <c r="AD232" s="169">
        <f t="shared" si="57"/>
        <v>0</v>
      </c>
      <c r="AE232" s="274">
        <f t="shared" si="58"/>
        <v>0</v>
      </c>
      <c r="AF232" s="169">
        <f t="shared" si="64"/>
        <v>0</v>
      </c>
      <c r="AG232" s="274">
        <f t="shared" si="59"/>
        <v>0</v>
      </c>
      <c r="AH232" s="169">
        <f t="shared" si="65"/>
        <v>0</v>
      </c>
      <c r="AI232" s="169"/>
      <c r="AJ232" s="169">
        <f t="shared" si="66"/>
        <v>0</v>
      </c>
      <c r="AK232" s="169">
        <f t="shared" si="67"/>
        <v>0</v>
      </c>
      <c r="AL232" s="169"/>
      <c r="AM232" s="169">
        <f>AK231*W231+AK232*W232</f>
        <v>0</v>
      </c>
      <c r="AN232" s="169">
        <f>(SUM(AD231:AG231)*W231+SUM(AD232:AG232)*W232)*12*VLOOKUP(C232,JNovergang,3,1)</f>
        <v>0</v>
      </c>
      <c r="AO232" s="169">
        <f>AM232-AN232</f>
        <v>0</v>
      </c>
      <c r="AP232" s="169">
        <f>M232*(100+X232)%</f>
        <v>0</v>
      </c>
      <c r="AQ232" s="274">
        <f>ROUND(M232*F232,2)</f>
        <v>0</v>
      </c>
      <c r="AS232" s="274">
        <f>ROUND((AP232+AQ232)+AM232*(N232/12),0)</f>
        <v>0</v>
      </c>
      <c r="AT232" s="274">
        <f>ROUND(AM232*(O232/12),0)</f>
        <v>0</v>
      </c>
      <c r="AU232" s="274">
        <f>ROUND(AM232*(P232/12)*U232,0)</f>
        <v>0</v>
      </c>
      <c r="AW232" s="144">
        <f t="shared" si="68"/>
        <v>0</v>
      </c>
    </row>
    <row r="233" spans="1:49" x14ac:dyDescent="0.15">
      <c r="A233" s="173"/>
      <c r="B233" s="174"/>
      <c r="C233" s="174"/>
      <c r="D233" s="165" t="str">
        <f t="shared" si="53"/>
        <v xml:space="preserve"> </v>
      </c>
      <c r="E233" s="177"/>
      <c r="F233" s="287">
        <v>0</v>
      </c>
      <c r="G233" s="177">
        <v>37</v>
      </c>
      <c r="H233" s="177">
        <v>37</v>
      </c>
      <c r="I233" s="177"/>
      <c r="J233" s="179"/>
      <c r="K233" s="177"/>
      <c r="L233" s="179"/>
      <c r="M233" s="166"/>
      <c r="N233" s="166"/>
      <c r="O233" s="166"/>
      <c r="P233" s="166"/>
      <c r="Q233" s="167"/>
      <c r="R233" s="167"/>
      <c r="S233" s="168"/>
      <c r="V233" s="144">
        <f t="shared" si="60"/>
        <v>0</v>
      </c>
      <c r="W233" s="144">
        <f t="shared" si="61"/>
        <v>0</v>
      </c>
      <c r="X233" s="144">
        <f t="shared" si="52"/>
        <v>0</v>
      </c>
      <c r="Y233" s="144">
        <f t="shared" si="62"/>
        <v>34.464599999999997</v>
      </c>
      <c r="Z233" s="169">
        <f t="shared" si="54"/>
        <v>0</v>
      </c>
      <c r="AA233" s="274">
        <f t="shared" si="55"/>
        <v>0</v>
      </c>
      <c r="AB233" s="169">
        <f t="shared" si="63"/>
        <v>0</v>
      </c>
      <c r="AC233" s="274">
        <f t="shared" si="56"/>
        <v>0</v>
      </c>
      <c r="AD233" s="169">
        <f t="shared" si="57"/>
        <v>0</v>
      </c>
      <c r="AE233" s="274">
        <f t="shared" si="58"/>
        <v>0</v>
      </c>
      <c r="AF233" s="169">
        <f t="shared" si="64"/>
        <v>0</v>
      </c>
      <c r="AG233" s="274">
        <f t="shared" si="59"/>
        <v>0</v>
      </c>
      <c r="AH233" s="169">
        <f t="shared" si="65"/>
        <v>0</v>
      </c>
      <c r="AI233" s="169"/>
      <c r="AJ233" s="169">
        <f t="shared" si="66"/>
        <v>0</v>
      </c>
      <c r="AK233" s="169">
        <f t="shared" si="67"/>
        <v>0</v>
      </c>
      <c r="AL233" s="169"/>
      <c r="AM233" s="169"/>
      <c r="AN233" s="169"/>
      <c r="AQ233" s="169"/>
      <c r="AW233" s="144">
        <f t="shared" si="68"/>
        <v>0</v>
      </c>
    </row>
    <row r="234" spans="1:49" ht="9.75" thickBot="1" x14ac:dyDescent="0.2">
      <c r="A234" s="175"/>
      <c r="B234" s="176"/>
      <c r="C234" s="176"/>
      <c r="D234" s="170" t="str">
        <f t="shared" si="53"/>
        <v xml:space="preserve"> </v>
      </c>
      <c r="E234" s="178"/>
      <c r="F234" s="288">
        <v>0</v>
      </c>
      <c r="G234" s="178">
        <v>37</v>
      </c>
      <c r="H234" s="178">
        <v>37</v>
      </c>
      <c r="I234" s="178"/>
      <c r="J234" s="180"/>
      <c r="K234" s="178"/>
      <c r="L234" s="180"/>
      <c r="M234" s="180"/>
      <c r="N234" s="178"/>
      <c r="O234" s="178"/>
      <c r="P234" s="178"/>
      <c r="Q234" s="171">
        <f>AS234</f>
        <v>0</v>
      </c>
      <c r="R234" s="171">
        <f>AT234</f>
        <v>0</v>
      </c>
      <c r="S234" s="172">
        <f>AU234</f>
        <v>0</v>
      </c>
      <c r="U234" s="144">
        <f>IF(OR(C233=5,C234=5),0,1)</f>
        <v>1</v>
      </c>
      <c r="V234" s="144">
        <f t="shared" si="60"/>
        <v>0</v>
      </c>
      <c r="W234" s="144">
        <f t="shared" si="61"/>
        <v>0</v>
      </c>
      <c r="X234" s="144">
        <f t="shared" si="52"/>
        <v>0</v>
      </c>
      <c r="Y234" s="144">
        <f t="shared" si="62"/>
        <v>34.464599999999997</v>
      </c>
      <c r="Z234" s="169">
        <f t="shared" si="54"/>
        <v>0</v>
      </c>
      <c r="AA234" s="274">
        <f t="shared" si="55"/>
        <v>0</v>
      </c>
      <c r="AB234" s="169">
        <f t="shared" si="63"/>
        <v>0</v>
      </c>
      <c r="AC234" s="274">
        <f t="shared" si="56"/>
        <v>0</v>
      </c>
      <c r="AD234" s="169">
        <f t="shared" si="57"/>
        <v>0</v>
      </c>
      <c r="AE234" s="274">
        <f t="shared" si="58"/>
        <v>0</v>
      </c>
      <c r="AF234" s="169">
        <f t="shared" si="64"/>
        <v>0</v>
      </c>
      <c r="AG234" s="274">
        <f t="shared" si="59"/>
        <v>0</v>
      </c>
      <c r="AH234" s="169">
        <f t="shared" si="65"/>
        <v>0</v>
      </c>
      <c r="AI234" s="169"/>
      <c r="AJ234" s="169">
        <f t="shared" si="66"/>
        <v>0</v>
      </c>
      <c r="AK234" s="169">
        <f t="shared" si="67"/>
        <v>0</v>
      </c>
      <c r="AL234" s="169"/>
      <c r="AM234" s="169">
        <f>AK233*W233+AK234*W234</f>
        <v>0</v>
      </c>
      <c r="AN234" s="169">
        <f>(SUM(AD233:AG233)*W233+SUM(AD234:AG234)*W234)*12*VLOOKUP(C234,JNovergang,3,1)</f>
        <v>0</v>
      </c>
      <c r="AO234" s="169">
        <f>AM234-AN234</f>
        <v>0</v>
      </c>
      <c r="AP234" s="169">
        <f>M234*(100+X234)%</f>
        <v>0</v>
      </c>
      <c r="AQ234" s="274">
        <f>ROUND(M234*F234,2)</f>
        <v>0</v>
      </c>
      <c r="AS234" s="274">
        <f>ROUND((AP234+AQ234)+AM234*(N234/12),0)</f>
        <v>0</v>
      </c>
      <c r="AT234" s="274">
        <f>ROUND(AM234*(O234/12),0)</f>
        <v>0</v>
      </c>
      <c r="AU234" s="274">
        <f>ROUND(AM234*(P234/12)*U234,0)</f>
        <v>0</v>
      </c>
      <c r="AW234" s="144">
        <f t="shared" si="68"/>
        <v>0</v>
      </c>
    </row>
    <row r="235" spans="1:49" x14ac:dyDescent="0.15">
      <c r="A235" s="173"/>
      <c r="B235" s="174"/>
      <c r="C235" s="174"/>
      <c r="D235" s="165" t="str">
        <f t="shared" si="53"/>
        <v xml:space="preserve"> </v>
      </c>
      <c r="E235" s="177"/>
      <c r="F235" s="287">
        <v>0</v>
      </c>
      <c r="G235" s="177">
        <v>37</v>
      </c>
      <c r="H235" s="177">
        <v>37</v>
      </c>
      <c r="I235" s="177"/>
      <c r="J235" s="179"/>
      <c r="K235" s="177"/>
      <c r="L235" s="179"/>
      <c r="M235" s="166"/>
      <c r="N235" s="166"/>
      <c r="O235" s="166"/>
      <c r="P235" s="166"/>
      <c r="Q235" s="167"/>
      <c r="R235" s="167"/>
      <c r="S235" s="168"/>
      <c r="V235" s="144">
        <f t="shared" si="60"/>
        <v>0</v>
      </c>
      <c r="W235" s="144">
        <f t="shared" si="61"/>
        <v>0</v>
      </c>
      <c r="X235" s="144">
        <f t="shared" si="52"/>
        <v>0</v>
      </c>
      <c r="Y235" s="144">
        <f t="shared" si="62"/>
        <v>34.464599999999997</v>
      </c>
      <c r="Z235" s="169">
        <f t="shared" si="54"/>
        <v>0</v>
      </c>
      <c r="AA235" s="274">
        <f t="shared" si="55"/>
        <v>0</v>
      </c>
      <c r="AB235" s="169">
        <f t="shared" si="63"/>
        <v>0</v>
      </c>
      <c r="AC235" s="274">
        <f t="shared" si="56"/>
        <v>0</v>
      </c>
      <c r="AD235" s="169">
        <f t="shared" si="57"/>
        <v>0</v>
      </c>
      <c r="AE235" s="274">
        <f t="shared" si="58"/>
        <v>0</v>
      </c>
      <c r="AF235" s="169">
        <f t="shared" si="64"/>
        <v>0</v>
      </c>
      <c r="AG235" s="274">
        <f t="shared" si="59"/>
        <v>0</v>
      </c>
      <c r="AH235" s="169">
        <f t="shared" si="65"/>
        <v>0</v>
      </c>
      <c r="AI235" s="169"/>
      <c r="AJ235" s="169">
        <f t="shared" si="66"/>
        <v>0</v>
      </c>
      <c r="AK235" s="169">
        <f t="shared" si="67"/>
        <v>0</v>
      </c>
      <c r="AL235" s="169"/>
      <c r="AM235" s="169"/>
      <c r="AN235" s="169"/>
      <c r="AQ235" s="169"/>
      <c r="AW235" s="144">
        <f t="shared" si="68"/>
        <v>0</v>
      </c>
    </row>
    <row r="236" spans="1:49" ht="9.75" thickBot="1" x14ac:dyDescent="0.2">
      <c r="A236" s="175"/>
      <c r="B236" s="176"/>
      <c r="C236" s="176"/>
      <c r="D236" s="170" t="str">
        <f t="shared" si="53"/>
        <v xml:space="preserve"> </v>
      </c>
      <c r="E236" s="178"/>
      <c r="F236" s="288">
        <v>0</v>
      </c>
      <c r="G236" s="178">
        <v>37</v>
      </c>
      <c r="H236" s="178">
        <v>37</v>
      </c>
      <c r="I236" s="178"/>
      <c r="J236" s="180"/>
      <c r="K236" s="178"/>
      <c r="L236" s="180"/>
      <c r="M236" s="180"/>
      <c r="N236" s="178"/>
      <c r="O236" s="178"/>
      <c r="P236" s="178"/>
      <c r="Q236" s="171">
        <f>AS236</f>
        <v>0</v>
      </c>
      <c r="R236" s="171">
        <f>AT236</f>
        <v>0</v>
      </c>
      <c r="S236" s="172">
        <f>AU236</f>
        <v>0</v>
      </c>
      <c r="U236" s="144">
        <f>IF(OR(C235=5,C236=5),0,1)</f>
        <v>1</v>
      </c>
      <c r="V236" s="144">
        <f t="shared" si="60"/>
        <v>0</v>
      </c>
      <c r="W236" s="144">
        <f t="shared" si="61"/>
        <v>0</v>
      </c>
      <c r="X236" s="144">
        <f t="shared" si="52"/>
        <v>0</v>
      </c>
      <c r="Y236" s="144">
        <f t="shared" si="62"/>
        <v>34.464599999999997</v>
      </c>
      <c r="Z236" s="169">
        <f t="shared" si="54"/>
        <v>0</v>
      </c>
      <c r="AA236" s="274">
        <f t="shared" si="55"/>
        <v>0</v>
      </c>
      <c r="AB236" s="169">
        <f t="shared" si="63"/>
        <v>0</v>
      </c>
      <c r="AC236" s="274">
        <f t="shared" si="56"/>
        <v>0</v>
      </c>
      <c r="AD236" s="169">
        <f t="shared" si="57"/>
        <v>0</v>
      </c>
      <c r="AE236" s="274">
        <f t="shared" si="58"/>
        <v>0</v>
      </c>
      <c r="AF236" s="169">
        <f t="shared" si="64"/>
        <v>0</v>
      </c>
      <c r="AG236" s="274">
        <f t="shared" si="59"/>
        <v>0</v>
      </c>
      <c r="AH236" s="169">
        <f t="shared" si="65"/>
        <v>0</v>
      </c>
      <c r="AI236" s="169"/>
      <c r="AJ236" s="169">
        <f t="shared" si="66"/>
        <v>0</v>
      </c>
      <c r="AK236" s="169">
        <f t="shared" si="67"/>
        <v>0</v>
      </c>
      <c r="AL236" s="169"/>
      <c r="AM236" s="169">
        <f>AK235*W235+AK236*W236</f>
        <v>0</v>
      </c>
      <c r="AN236" s="169">
        <f>(SUM(AD235:AG235)*W235+SUM(AD236:AG236)*W236)*12*VLOOKUP(C236,JNovergang,3,1)</f>
        <v>0</v>
      </c>
      <c r="AO236" s="169">
        <f>AM236-AN236</f>
        <v>0</v>
      </c>
      <c r="AP236" s="169">
        <f>M236*(100+X236)%</f>
        <v>0</v>
      </c>
      <c r="AQ236" s="274">
        <f>ROUND(M236*F236,2)</f>
        <v>0</v>
      </c>
      <c r="AS236" s="274">
        <f>ROUND((AP236+AQ236)+AM236*(N236/12),0)</f>
        <v>0</v>
      </c>
      <c r="AT236" s="274">
        <f>ROUND(AM236*(O236/12),0)</f>
        <v>0</v>
      </c>
      <c r="AU236" s="274">
        <f>ROUND(AM236*(P236/12)*U236,0)</f>
        <v>0</v>
      </c>
      <c r="AW236" s="144">
        <f t="shared" si="68"/>
        <v>0</v>
      </c>
    </row>
    <row r="237" spans="1:49" x14ac:dyDescent="0.15">
      <c r="A237" s="173"/>
      <c r="B237" s="174"/>
      <c r="C237" s="174"/>
      <c r="D237" s="165" t="str">
        <f t="shared" si="53"/>
        <v xml:space="preserve"> </v>
      </c>
      <c r="E237" s="177"/>
      <c r="F237" s="287">
        <v>0</v>
      </c>
      <c r="G237" s="177">
        <v>37</v>
      </c>
      <c r="H237" s="177">
        <v>37</v>
      </c>
      <c r="I237" s="177"/>
      <c r="J237" s="179"/>
      <c r="K237" s="177"/>
      <c r="L237" s="179"/>
      <c r="M237" s="166"/>
      <c r="N237" s="166"/>
      <c r="O237" s="166"/>
      <c r="P237" s="166"/>
      <c r="Q237" s="167"/>
      <c r="R237" s="167"/>
      <c r="S237" s="168"/>
      <c r="V237" s="144">
        <f t="shared" si="60"/>
        <v>0</v>
      </c>
      <c r="W237" s="144">
        <f t="shared" si="61"/>
        <v>0</v>
      </c>
      <c r="X237" s="144">
        <f t="shared" si="52"/>
        <v>0</v>
      </c>
      <c r="Y237" s="144">
        <f t="shared" si="62"/>
        <v>34.464599999999997</v>
      </c>
      <c r="Z237" s="169">
        <f t="shared" si="54"/>
        <v>0</v>
      </c>
      <c r="AA237" s="274">
        <f t="shared" si="55"/>
        <v>0</v>
      </c>
      <c r="AB237" s="169">
        <f t="shared" si="63"/>
        <v>0</v>
      </c>
      <c r="AC237" s="274">
        <f t="shared" si="56"/>
        <v>0</v>
      </c>
      <c r="AD237" s="169">
        <f t="shared" si="57"/>
        <v>0</v>
      </c>
      <c r="AE237" s="274">
        <f t="shared" si="58"/>
        <v>0</v>
      </c>
      <c r="AF237" s="169">
        <f t="shared" si="64"/>
        <v>0</v>
      </c>
      <c r="AG237" s="274">
        <f t="shared" si="59"/>
        <v>0</v>
      </c>
      <c r="AH237" s="169">
        <f t="shared" si="65"/>
        <v>0</v>
      </c>
      <c r="AI237" s="169"/>
      <c r="AJ237" s="169">
        <f t="shared" si="66"/>
        <v>0</v>
      </c>
      <c r="AK237" s="169">
        <f t="shared" si="67"/>
        <v>0</v>
      </c>
      <c r="AL237" s="169"/>
      <c r="AM237" s="169"/>
      <c r="AN237" s="169"/>
      <c r="AQ237" s="169"/>
      <c r="AW237" s="144">
        <f t="shared" si="68"/>
        <v>0</v>
      </c>
    </row>
    <row r="238" spans="1:49" ht="9.75" thickBot="1" x14ac:dyDescent="0.2">
      <c r="A238" s="175"/>
      <c r="B238" s="176"/>
      <c r="C238" s="176"/>
      <c r="D238" s="170" t="str">
        <f t="shared" si="53"/>
        <v xml:space="preserve"> </v>
      </c>
      <c r="E238" s="178"/>
      <c r="F238" s="288">
        <v>0</v>
      </c>
      <c r="G238" s="178">
        <v>37</v>
      </c>
      <c r="H238" s="178">
        <v>37</v>
      </c>
      <c r="I238" s="178"/>
      <c r="J238" s="180"/>
      <c r="K238" s="178"/>
      <c r="L238" s="180"/>
      <c r="M238" s="180"/>
      <c r="N238" s="178"/>
      <c r="O238" s="178"/>
      <c r="P238" s="178"/>
      <c r="Q238" s="171">
        <f>AS238</f>
        <v>0</v>
      </c>
      <c r="R238" s="171">
        <f>AT238</f>
        <v>0</v>
      </c>
      <c r="S238" s="172">
        <f>AU238</f>
        <v>0</v>
      </c>
      <c r="U238" s="144">
        <f>IF(OR(C237=5,C238=5),0,1)</f>
        <v>1</v>
      </c>
      <c r="V238" s="144">
        <f t="shared" si="60"/>
        <v>0</v>
      </c>
      <c r="W238" s="144">
        <f t="shared" si="61"/>
        <v>0</v>
      </c>
      <c r="X238" s="144">
        <f t="shared" si="52"/>
        <v>0</v>
      </c>
      <c r="Y238" s="144">
        <f t="shared" si="62"/>
        <v>34.464599999999997</v>
      </c>
      <c r="Z238" s="169">
        <f t="shared" si="54"/>
        <v>0</v>
      </c>
      <c r="AA238" s="274">
        <f t="shared" si="55"/>
        <v>0</v>
      </c>
      <c r="AB238" s="169">
        <f t="shared" si="63"/>
        <v>0</v>
      </c>
      <c r="AC238" s="274">
        <f t="shared" si="56"/>
        <v>0</v>
      </c>
      <c r="AD238" s="169">
        <f t="shared" si="57"/>
        <v>0</v>
      </c>
      <c r="AE238" s="274">
        <f t="shared" si="58"/>
        <v>0</v>
      </c>
      <c r="AF238" s="169">
        <f t="shared" si="64"/>
        <v>0</v>
      </c>
      <c r="AG238" s="274">
        <f t="shared" si="59"/>
        <v>0</v>
      </c>
      <c r="AH238" s="169">
        <f t="shared" si="65"/>
        <v>0</v>
      </c>
      <c r="AI238" s="169"/>
      <c r="AJ238" s="169">
        <f t="shared" si="66"/>
        <v>0</v>
      </c>
      <c r="AK238" s="169">
        <f t="shared" si="67"/>
        <v>0</v>
      </c>
      <c r="AL238" s="169"/>
      <c r="AM238" s="169">
        <f>AK237*W237+AK238*W238</f>
        <v>0</v>
      </c>
      <c r="AN238" s="169">
        <f>(SUM(AD237:AG237)*W237+SUM(AD238:AG238)*W238)*12*VLOOKUP(C238,JNovergang,3,1)</f>
        <v>0</v>
      </c>
      <c r="AO238" s="169">
        <f>AM238-AN238</f>
        <v>0</v>
      </c>
      <c r="AP238" s="169">
        <f>M238*(100+X238)%</f>
        <v>0</v>
      </c>
      <c r="AQ238" s="274">
        <f>ROUND(M238*F238,2)</f>
        <v>0</v>
      </c>
      <c r="AS238" s="274">
        <f>ROUND((AP238+AQ238)+AM238*(N238/12),0)</f>
        <v>0</v>
      </c>
      <c r="AT238" s="274">
        <f>ROUND(AM238*(O238/12),0)</f>
        <v>0</v>
      </c>
      <c r="AU238" s="274">
        <f>ROUND(AM238*(P238/12)*U238,0)</f>
        <v>0</v>
      </c>
      <c r="AW238" s="144">
        <f t="shared" si="68"/>
        <v>0</v>
      </c>
    </row>
    <row r="239" spans="1:49" x14ac:dyDescent="0.15">
      <c r="A239" s="173"/>
      <c r="B239" s="174"/>
      <c r="C239" s="174"/>
      <c r="D239" s="165" t="str">
        <f t="shared" si="53"/>
        <v xml:space="preserve"> </v>
      </c>
      <c r="E239" s="177"/>
      <c r="F239" s="287">
        <v>0</v>
      </c>
      <c r="G239" s="177">
        <v>37</v>
      </c>
      <c r="H239" s="177">
        <v>37</v>
      </c>
      <c r="I239" s="177"/>
      <c r="J239" s="179"/>
      <c r="K239" s="177"/>
      <c r="L239" s="179"/>
      <c r="M239" s="166"/>
      <c r="N239" s="166"/>
      <c r="O239" s="166"/>
      <c r="P239" s="166"/>
      <c r="Q239" s="167"/>
      <c r="R239" s="167"/>
      <c r="S239" s="168"/>
      <c r="V239" s="144">
        <f t="shared" si="60"/>
        <v>0</v>
      </c>
      <c r="W239" s="144">
        <f t="shared" si="61"/>
        <v>0</v>
      </c>
      <c r="X239" s="144">
        <f t="shared" si="52"/>
        <v>0</v>
      </c>
      <c r="Y239" s="144">
        <f t="shared" si="62"/>
        <v>34.464599999999997</v>
      </c>
      <c r="Z239" s="169">
        <f t="shared" si="54"/>
        <v>0</v>
      </c>
      <c r="AA239" s="274">
        <f t="shared" si="55"/>
        <v>0</v>
      </c>
      <c r="AB239" s="169">
        <f t="shared" si="63"/>
        <v>0</v>
      </c>
      <c r="AC239" s="274">
        <f t="shared" si="56"/>
        <v>0</v>
      </c>
      <c r="AD239" s="169">
        <f t="shared" si="57"/>
        <v>0</v>
      </c>
      <c r="AE239" s="274">
        <f t="shared" si="58"/>
        <v>0</v>
      </c>
      <c r="AF239" s="169">
        <f t="shared" si="64"/>
        <v>0</v>
      </c>
      <c r="AG239" s="274">
        <f t="shared" si="59"/>
        <v>0</v>
      </c>
      <c r="AH239" s="169">
        <f t="shared" si="65"/>
        <v>0</v>
      </c>
      <c r="AI239" s="169"/>
      <c r="AJ239" s="169">
        <f t="shared" si="66"/>
        <v>0</v>
      </c>
      <c r="AK239" s="169">
        <f t="shared" si="67"/>
        <v>0</v>
      </c>
      <c r="AL239" s="169"/>
      <c r="AM239" s="169"/>
      <c r="AN239" s="169"/>
      <c r="AQ239" s="169"/>
      <c r="AW239" s="144">
        <f t="shared" si="68"/>
        <v>0</v>
      </c>
    </row>
    <row r="240" spans="1:49" ht="9.75" thickBot="1" x14ac:dyDescent="0.2">
      <c r="A240" s="175"/>
      <c r="B240" s="176"/>
      <c r="C240" s="176"/>
      <c r="D240" s="170" t="str">
        <f t="shared" si="53"/>
        <v xml:space="preserve"> </v>
      </c>
      <c r="E240" s="178"/>
      <c r="F240" s="288">
        <v>0</v>
      </c>
      <c r="G240" s="178">
        <v>37</v>
      </c>
      <c r="H240" s="178">
        <v>37</v>
      </c>
      <c r="I240" s="178"/>
      <c r="J240" s="180"/>
      <c r="K240" s="178"/>
      <c r="L240" s="180"/>
      <c r="M240" s="180"/>
      <c r="N240" s="178"/>
      <c r="O240" s="178"/>
      <c r="P240" s="178"/>
      <c r="Q240" s="171">
        <f>AS240</f>
        <v>0</v>
      </c>
      <c r="R240" s="171">
        <f>AT240</f>
        <v>0</v>
      </c>
      <c r="S240" s="172">
        <f>AU240</f>
        <v>0</v>
      </c>
      <c r="U240" s="144">
        <f>IF(OR(C239=5,C240=5),0,1)</f>
        <v>1</v>
      </c>
      <c r="V240" s="144">
        <f t="shared" si="60"/>
        <v>0</v>
      </c>
      <c r="W240" s="144">
        <f t="shared" si="61"/>
        <v>0</v>
      </c>
      <c r="X240" s="144">
        <f t="shared" si="52"/>
        <v>0</v>
      </c>
      <c r="Y240" s="144">
        <f t="shared" si="62"/>
        <v>34.464599999999997</v>
      </c>
      <c r="Z240" s="169">
        <f t="shared" si="54"/>
        <v>0</v>
      </c>
      <c r="AA240" s="274">
        <f t="shared" si="55"/>
        <v>0</v>
      </c>
      <c r="AB240" s="169">
        <f t="shared" si="63"/>
        <v>0</v>
      </c>
      <c r="AC240" s="274">
        <f t="shared" si="56"/>
        <v>0</v>
      </c>
      <c r="AD240" s="169">
        <f t="shared" si="57"/>
        <v>0</v>
      </c>
      <c r="AE240" s="274">
        <f t="shared" si="58"/>
        <v>0</v>
      </c>
      <c r="AF240" s="169">
        <f t="shared" si="64"/>
        <v>0</v>
      </c>
      <c r="AG240" s="274">
        <f t="shared" si="59"/>
        <v>0</v>
      </c>
      <c r="AH240" s="169">
        <f t="shared" si="65"/>
        <v>0</v>
      </c>
      <c r="AI240" s="169"/>
      <c r="AJ240" s="169">
        <f t="shared" si="66"/>
        <v>0</v>
      </c>
      <c r="AK240" s="169">
        <f t="shared" si="67"/>
        <v>0</v>
      </c>
      <c r="AL240" s="169"/>
      <c r="AM240" s="169">
        <f>AK239*W239+AK240*W240</f>
        <v>0</v>
      </c>
      <c r="AN240" s="169">
        <f>(SUM(AD239:AG239)*W239+SUM(AD240:AG240)*W240)*12*VLOOKUP(C240,JNovergang,3,1)</f>
        <v>0</v>
      </c>
      <c r="AO240" s="169">
        <f>AM240-AN240</f>
        <v>0</v>
      </c>
      <c r="AP240" s="169">
        <f>M240*(100+X240)%</f>
        <v>0</v>
      </c>
      <c r="AQ240" s="274">
        <f>ROUND(M240*F240,2)</f>
        <v>0</v>
      </c>
      <c r="AS240" s="274">
        <f>ROUND((AP240+AQ240)+AM240*(N240/12),0)</f>
        <v>0</v>
      </c>
      <c r="AT240" s="274">
        <f>ROUND(AM240*(O240/12),0)</f>
        <v>0</v>
      </c>
      <c r="AU240" s="274">
        <f>ROUND(AM240*(P240/12)*U240,0)</f>
        <v>0</v>
      </c>
      <c r="AW240" s="144">
        <f t="shared" si="68"/>
        <v>0</v>
      </c>
    </row>
    <row r="241" spans="1:49" x14ac:dyDescent="0.15">
      <c r="A241" s="173"/>
      <c r="B241" s="174"/>
      <c r="C241" s="174"/>
      <c r="D241" s="165" t="str">
        <f t="shared" si="53"/>
        <v xml:space="preserve"> </v>
      </c>
      <c r="E241" s="177"/>
      <c r="F241" s="287">
        <v>0</v>
      </c>
      <c r="G241" s="177">
        <v>37</v>
      </c>
      <c r="H241" s="177">
        <v>37</v>
      </c>
      <c r="I241" s="177"/>
      <c r="J241" s="179"/>
      <c r="K241" s="177"/>
      <c r="L241" s="179"/>
      <c r="M241" s="166"/>
      <c r="N241" s="166"/>
      <c r="O241" s="166"/>
      <c r="P241" s="166"/>
      <c r="Q241" s="167"/>
      <c r="R241" s="167"/>
      <c r="S241" s="168"/>
      <c r="V241" s="144">
        <f t="shared" si="60"/>
        <v>0</v>
      </c>
      <c r="W241" s="144">
        <f t="shared" si="61"/>
        <v>0</v>
      </c>
      <c r="X241" s="144">
        <f t="shared" si="52"/>
        <v>0</v>
      </c>
      <c r="Y241" s="144">
        <f t="shared" si="62"/>
        <v>34.464599999999997</v>
      </c>
      <c r="Z241" s="169">
        <f t="shared" si="54"/>
        <v>0</v>
      </c>
      <c r="AA241" s="274">
        <f t="shared" si="55"/>
        <v>0</v>
      </c>
      <c r="AB241" s="169">
        <f t="shared" si="63"/>
        <v>0</v>
      </c>
      <c r="AC241" s="274">
        <f t="shared" si="56"/>
        <v>0</v>
      </c>
      <c r="AD241" s="169">
        <f t="shared" si="57"/>
        <v>0</v>
      </c>
      <c r="AE241" s="274">
        <f t="shared" si="58"/>
        <v>0</v>
      </c>
      <c r="AF241" s="169">
        <f t="shared" si="64"/>
        <v>0</v>
      </c>
      <c r="AG241" s="274">
        <f t="shared" si="59"/>
        <v>0</v>
      </c>
      <c r="AH241" s="169">
        <f t="shared" si="65"/>
        <v>0</v>
      </c>
      <c r="AI241" s="169"/>
      <c r="AJ241" s="169">
        <f t="shared" si="66"/>
        <v>0</v>
      </c>
      <c r="AK241" s="169">
        <f t="shared" si="67"/>
        <v>0</v>
      </c>
      <c r="AL241" s="169"/>
      <c r="AM241" s="169"/>
      <c r="AN241" s="169"/>
      <c r="AQ241" s="169"/>
      <c r="AW241" s="144">
        <f t="shared" si="68"/>
        <v>0</v>
      </c>
    </row>
    <row r="242" spans="1:49" ht="9.75" thickBot="1" x14ac:dyDescent="0.2">
      <c r="A242" s="175"/>
      <c r="B242" s="176"/>
      <c r="C242" s="176"/>
      <c r="D242" s="170" t="str">
        <f t="shared" si="53"/>
        <v xml:space="preserve"> </v>
      </c>
      <c r="E242" s="178"/>
      <c r="F242" s="288">
        <v>0</v>
      </c>
      <c r="G242" s="178">
        <v>37</v>
      </c>
      <c r="H242" s="178">
        <v>37</v>
      </c>
      <c r="I242" s="178"/>
      <c r="J242" s="180"/>
      <c r="K242" s="178"/>
      <c r="L242" s="180"/>
      <c r="M242" s="180"/>
      <c r="N242" s="178"/>
      <c r="O242" s="178"/>
      <c r="P242" s="178"/>
      <c r="Q242" s="171">
        <f>AS242</f>
        <v>0</v>
      </c>
      <c r="R242" s="171">
        <f>AT242</f>
        <v>0</v>
      </c>
      <c r="S242" s="172">
        <f>AU242</f>
        <v>0</v>
      </c>
      <c r="U242" s="144">
        <f>IF(OR(C241=5,C242=5),0,1)</f>
        <v>1</v>
      </c>
      <c r="V242" s="144">
        <f t="shared" si="60"/>
        <v>0</v>
      </c>
      <c r="W242" s="144">
        <f t="shared" si="61"/>
        <v>0</v>
      </c>
      <c r="X242" s="144">
        <f t="shared" si="52"/>
        <v>0</v>
      </c>
      <c r="Y242" s="144">
        <f t="shared" si="62"/>
        <v>34.464599999999997</v>
      </c>
      <c r="Z242" s="169">
        <f t="shared" si="54"/>
        <v>0</v>
      </c>
      <c r="AA242" s="274">
        <f t="shared" si="55"/>
        <v>0</v>
      </c>
      <c r="AB242" s="169">
        <f t="shared" si="63"/>
        <v>0</v>
      </c>
      <c r="AC242" s="274">
        <f t="shared" si="56"/>
        <v>0</v>
      </c>
      <c r="AD242" s="169">
        <f t="shared" si="57"/>
        <v>0</v>
      </c>
      <c r="AE242" s="274">
        <f t="shared" si="58"/>
        <v>0</v>
      </c>
      <c r="AF242" s="169">
        <f t="shared" si="64"/>
        <v>0</v>
      </c>
      <c r="AG242" s="274">
        <f t="shared" si="59"/>
        <v>0</v>
      </c>
      <c r="AH242" s="169">
        <f t="shared" si="65"/>
        <v>0</v>
      </c>
      <c r="AI242" s="169"/>
      <c r="AJ242" s="169">
        <f t="shared" si="66"/>
        <v>0</v>
      </c>
      <c r="AK242" s="169">
        <f t="shared" si="67"/>
        <v>0</v>
      </c>
      <c r="AL242" s="169"/>
      <c r="AM242" s="169">
        <f>AK241*W241+AK242*W242</f>
        <v>0</v>
      </c>
      <c r="AN242" s="169">
        <f>(SUM(AD241:AG241)*W241+SUM(AD242:AG242)*W242)*12*VLOOKUP(C242,JNovergang,3,1)</f>
        <v>0</v>
      </c>
      <c r="AO242" s="169">
        <f>AM242-AN242</f>
        <v>0</v>
      </c>
      <c r="AP242" s="169">
        <f>M242*(100+X242)%</f>
        <v>0</v>
      </c>
      <c r="AQ242" s="274">
        <f>ROUND(M242*F242,2)</f>
        <v>0</v>
      </c>
      <c r="AS242" s="274">
        <f>ROUND((AP242+AQ242)+AM242*(N242/12),0)</f>
        <v>0</v>
      </c>
      <c r="AT242" s="274">
        <f>ROUND(AM242*(O242/12),0)</f>
        <v>0</v>
      </c>
      <c r="AU242" s="274">
        <f>ROUND(AM242*(P242/12)*U242,0)</f>
        <v>0</v>
      </c>
      <c r="AW242" s="144">
        <f t="shared" si="68"/>
        <v>0</v>
      </c>
    </row>
    <row r="243" spans="1:49" x14ac:dyDescent="0.15">
      <c r="A243" s="173"/>
      <c r="B243" s="174"/>
      <c r="C243" s="174"/>
      <c r="D243" s="165" t="str">
        <f t="shared" si="53"/>
        <v xml:space="preserve"> </v>
      </c>
      <c r="E243" s="177"/>
      <c r="F243" s="287">
        <v>0</v>
      </c>
      <c r="G243" s="177">
        <v>37</v>
      </c>
      <c r="H243" s="177">
        <v>37</v>
      </c>
      <c r="I243" s="177"/>
      <c r="J243" s="179"/>
      <c r="K243" s="177"/>
      <c r="L243" s="179"/>
      <c r="M243" s="166"/>
      <c r="N243" s="166"/>
      <c r="O243" s="166"/>
      <c r="P243" s="166"/>
      <c r="Q243" s="167"/>
      <c r="R243" s="167"/>
      <c r="S243" s="168"/>
      <c r="V243" s="144">
        <f t="shared" si="60"/>
        <v>0</v>
      </c>
      <c r="W243" s="144">
        <f t="shared" si="61"/>
        <v>0</v>
      </c>
      <c r="X243" s="144">
        <f t="shared" ref="X243:X306" si="69">VLOOKUP(C243,JNferiepenge,3,1)</f>
        <v>0</v>
      </c>
      <c r="Y243" s="144">
        <f t="shared" si="62"/>
        <v>34.464599999999997</v>
      </c>
      <c r="Z243" s="169">
        <f t="shared" si="54"/>
        <v>0</v>
      </c>
      <c r="AA243" s="274">
        <f t="shared" si="55"/>
        <v>0</v>
      </c>
      <c r="AB243" s="169">
        <f t="shared" si="63"/>
        <v>0</v>
      </c>
      <c r="AC243" s="274">
        <f t="shared" si="56"/>
        <v>0</v>
      </c>
      <c r="AD243" s="169">
        <f t="shared" si="57"/>
        <v>0</v>
      </c>
      <c r="AE243" s="274">
        <f t="shared" si="58"/>
        <v>0</v>
      </c>
      <c r="AF243" s="169">
        <f t="shared" si="64"/>
        <v>0</v>
      </c>
      <c r="AG243" s="274">
        <f t="shared" si="59"/>
        <v>0</v>
      </c>
      <c r="AH243" s="169">
        <f t="shared" si="65"/>
        <v>0</v>
      </c>
      <c r="AI243" s="169"/>
      <c r="AJ243" s="169">
        <f t="shared" si="66"/>
        <v>0</v>
      </c>
      <c r="AK243" s="169">
        <f t="shared" si="67"/>
        <v>0</v>
      </c>
      <c r="AL243" s="169"/>
      <c r="AM243" s="169"/>
      <c r="AN243" s="169"/>
      <c r="AQ243" s="169"/>
      <c r="AW243" s="144">
        <f t="shared" si="68"/>
        <v>0</v>
      </c>
    </row>
    <row r="244" spans="1:49" ht="9.75" thickBot="1" x14ac:dyDescent="0.2">
      <c r="A244" s="175"/>
      <c r="B244" s="176"/>
      <c r="C244" s="176"/>
      <c r="D244" s="170" t="str">
        <f t="shared" si="53"/>
        <v xml:space="preserve"> </v>
      </c>
      <c r="E244" s="178"/>
      <c r="F244" s="288">
        <v>0</v>
      </c>
      <c r="G244" s="178">
        <v>37</v>
      </c>
      <c r="H244" s="178">
        <v>37</v>
      </c>
      <c r="I244" s="178"/>
      <c r="J244" s="180"/>
      <c r="K244" s="178"/>
      <c r="L244" s="180"/>
      <c r="M244" s="180"/>
      <c r="N244" s="178"/>
      <c r="O244" s="178"/>
      <c r="P244" s="178"/>
      <c r="Q244" s="171">
        <f>AS244</f>
        <v>0</v>
      </c>
      <c r="R244" s="171">
        <f>AT244</f>
        <v>0</v>
      </c>
      <c r="S244" s="172">
        <f>AU244</f>
        <v>0</v>
      </c>
      <c r="U244" s="144">
        <f>IF(OR(C243=5,C244=5),0,1)</f>
        <v>1</v>
      </c>
      <c r="V244" s="144">
        <f t="shared" si="60"/>
        <v>0</v>
      </c>
      <c r="W244" s="144">
        <f t="shared" si="61"/>
        <v>0</v>
      </c>
      <c r="X244" s="144">
        <f t="shared" si="69"/>
        <v>0</v>
      </c>
      <c r="Y244" s="144">
        <f t="shared" si="62"/>
        <v>34.464599999999997</v>
      </c>
      <c r="Z244" s="169">
        <f t="shared" si="54"/>
        <v>0</v>
      </c>
      <c r="AA244" s="274">
        <f t="shared" si="55"/>
        <v>0</v>
      </c>
      <c r="AB244" s="169">
        <f t="shared" si="63"/>
        <v>0</v>
      </c>
      <c r="AC244" s="274">
        <f t="shared" si="56"/>
        <v>0</v>
      </c>
      <c r="AD244" s="169">
        <f t="shared" si="57"/>
        <v>0</v>
      </c>
      <c r="AE244" s="274">
        <f t="shared" si="58"/>
        <v>0</v>
      </c>
      <c r="AF244" s="169">
        <f t="shared" si="64"/>
        <v>0</v>
      </c>
      <c r="AG244" s="274">
        <f t="shared" si="59"/>
        <v>0</v>
      </c>
      <c r="AH244" s="169">
        <f t="shared" si="65"/>
        <v>0</v>
      </c>
      <c r="AI244" s="169"/>
      <c r="AJ244" s="169">
        <f t="shared" si="66"/>
        <v>0</v>
      </c>
      <c r="AK244" s="169">
        <f t="shared" si="67"/>
        <v>0</v>
      </c>
      <c r="AL244" s="169"/>
      <c r="AM244" s="169">
        <f>AK243*W243+AK244*W244</f>
        <v>0</v>
      </c>
      <c r="AN244" s="169">
        <f>(SUM(AD243:AG243)*W243+SUM(AD244:AG244)*W244)*12*VLOOKUP(C244,JNovergang,3,1)</f>
        <v>0</v>
      </c>
      <c r="AO244" s="169">
        <f>AM244-AN244</f>
        <v>0</v>
      </c>
      <c r="AP244" s="169">
        <f>M244*(100+X244)%</f>
        <v>0</v>
      </c>
      <c r="AQ244" s="274">
        <f>ROUND(M244*F244,2)</f>
        <v>0</v>
      </c>
      <c r="AS244" s="274">
        <f>ROUND((AP244+AQ244)+AM244*(N244/12),0)</f>
        <v>0</v>
      </c>
      <c r="AT244" s="274">
        <f>ROUND(AM244*(O244/12),0)</f>
        <v>0</v>
      </c>
      <c r="AU244" s="274">
        <f>ROUND(AM244*(P244/12)*U244,0)</f>
        <v>0</v>
      </c>
      <c r="AW244" s="144">
        <f t="shared" si="68"/>
        <v>0</v>
      </c>
    </row>
    <row r="245" spans="1:49" x14ac:dyDescent="0.15">
      <c r="A245" s="173"/>
      <c r="B245" s="174"/>
      <c r="C245" s="174"/>
      <c r="D245" s="165" t="str">
        <f t="shared" si="53"/>
        <v xml:space="preserve"> </v>
      </c>
      <c r="E245" s="177"/>
      <c r="F245" s="287">
        <v>0</v>
      </c>
      <c r="G245" s="177">
        <v>37</v>
      </c>
      <c r="H245" s="177">
        <v>37</v>
      </c>
      <c r="I245" s="177"/>
      <c r="J245" s="179"/>
      <c r="K245" s="177"/>
      <c r="L245" s="179"/>
      <c r="M245" s="166"/>
      <c r="N245" s="166"/>
      <c r="O245" s="166"/>
      <c r="P245" s="166"/>
      <c r="Q245" s="167"/>
      <c r="R245" s="167"/>
      <c r="S245" s="168"/>
      <c r="V245" s="144">
        <f t="shared" si="60"/>
        <v>0</v>
      </c>
      <c r="W245" s="144">
        <f t="shared" si="61"/>
        <v>0</v>
      </c>
      <c r="X245" s="144">
        <f t="shared" si="69"/>
        <v>0</v>
      </c>
      <c r="Y245" s="144">
        <f t="shared" si="62"/>
        <v>34.464599999999997</v>
      </c>
      <c r="Z245" s="169">
        <f t="shared" si="54"/>
        <v>0</v>
      </c>
      <c r="AA245" s="274">
        <f t="shared" si="55"/>
        <v>0</v>
      </c>
      <c r="AB245" s="169">
        <f t="shared" si="63"/>
        <v>0</v>
      </c>
      <c r="AC245" s="274">
        <f t="shared" si="56"/>
        <v>0</v>
      </c>
      <c r="AD245" s="169">
        <f t="shared" si="57"/>
        <v>0</v>
      </c>
      <c r="AE245" s="274">
        <f t="shared" si="58"/>
        <v>0</v>
      </c>
      <c r="AF245" s="169">
        <f t="shared" si="64"/>
        <v>0</v>
      </c>
      <c r="AG245" s="274">
        <f t="shared" si="59"/>
        <v>0</v>
      </c>
      <c r="AH245" s="169">
        <f t="shared" si="65"/>
        <v>0</v>
      </c>
      <c r="AI245" s="169"/>
      <c r="AJ245" s="169">
        <f t="shared" si="66"/>
        <v>0</v>
      </c>
      <c r="AK245" s="169">
        <f t="shared" si="67"/>
        <v>0</v>
      </c>
      <c r="AL245" s="169"/>
      <c r="AM245" s="169"/>
      <c r="AN245" s="169"/>
      <c r="AQ245" s="169"/>
      <c r="AW245" s="144">
        <f t="shared" si="68"/>
        <v>0</v>
      </c>
    </row>
    <row r="246" spans="1:49" ht="9.75" thickBot="1" x14ac:dyDescent="0.2">
      <c r="A246" s="175"/>
      <c r="B246" s="176"/>
      <c r="C246" s="176"/>
      <c r="D246" s="170" t="str">
        <f t="shared" si="53"/>
        <v xml:space="preserve"> </v>
      </c>
      <c r="E246" s="178"/>
      <c r="F246" s="288">
        <v>0</v>
      </c>
      <c r="G246" s="178">
        <v>37</v>
      </c>
      <c r="H246" s="178">
        <v>37</v>
      </c>
      <c r="I246" s="178"/>
      <c r="J246" s="180"/>
      <c r="K246" s="178"/>
      <c r="L246" s="180"/>
      <c r="M246" s="180"/>
      <c r="N246" s="178"/>
      <c r="O246" s="178"/>
      <c r="P246" s="178"/>
      <c r="Q246" s="171">
        <f>AS246</f>
        <v>0</v>
      </c>
      <c r="R246" s="171">
        <f>AT246</f>
        <v>0</v>
      </c>
      <c r="S246" s="172">
        <f>AU246</f>
        <v>0</v>
      </c>
      <c r="U246" s="144">
        <f>IF(OR(C245=5,C246=5),0,1)</f>
        <v>1</v>
      </c>
      <c r="V246" s="144">
        <f t="shared" si="60"/>
        <v>0</v>
      </c>
      <c r="W246" s="144">
        <f t="shared" si="61"/>
        <v>0</v>
      </c>
      <c r="X246" s="144">
        <f t="shared" si="69"/>
        <v>0</v>
      </c>
      <c r="Y246" s="144">
        <f t="shared" si="62"/>
        <v>34.464599999999997</v>
      </c>
      <c r="Z246" s="169">
        <f t="shared" si="54"/>
        <v>0</v>
      </c>
      <c r="AA246" s="274">
        <f t="shared" si="55"/>
        <v>0</v>
      </c>
      <c r="AB246" s="169">
        <f t="shared" si="63"/>
        <v>0</v>
      </c>
      <c r="AC246" s="274">
        <f t="shared" si="56"/>
        <v>0</v>
      </c>
      <c r="AD246" s="169">
        <f t="shared" si="57"/>
        <v>0</v>
      </c>
      <c r="AE246" s="274">
        <f t="shared" si="58"/>
        <v>0</v>
      </c>
      <c r="AF246" s="169">
        <f t="shared" si="64"/>
        <v>0</v>
      </c>
      <c r="AG246" s="274">
        <f t="shared" si="59"/>
        <v>0</v>
      </c>
      <c r="AH246" s="169">
        <f t="shared" si="65"/>
        <v>0</v>
      </c>
      <c r="AI246" s="169"/>
      <c r="AJ246" s="169">
        <f t="shared" si="66"/>
        <v>0</v>
      </c>
      <c r="AK246" s="169">
        <f t="shared" si="67"/>
        <v>0</v>
      </c>
      <c r="AL246" s="169"/>
      <c r="AM246" s="169">
        <f>AK245*W245+AK246*W246</f>
        <v>0</v>
      </c>
      <c r="AN246" s="169">
        <f>(SUM(AD245:AG245)*W245+SUM(AD246:AG246)*W246)*12*VLOOKUP(C246,JNovergang,3,1)</f>
        <v>0</v>
      </c>
      <c r="AO246" s="169">
        <f>AM246-AN246</f>
        <v>0</v>
      </c>
      <c r="AP246" s="169">
        <f>M246*(100+X246)%</f>
        <v>0</v>
      </c>
      <c r="AQ246" s="274">
        <f>ROUND(M246*F246,2)</f>
        <v>0</v>
      </c>
      <c r="AS246" s="274">
        <f>ROUND((AP246+AQ246)+AM246*(N246/12),0)</f>
        <v>0</v>
      </c>
      <c r="AT246" s="274">
        <f>ROUND(AM246*(O246/12),0)</f>
        <v>0</v>
      </c>
      <c r="AU246" s="274">
        <f>ROUND(AM246*(P246/12)*U246,0)</f>
        <v>0</v>
      </c>
      <c r="AW246" s="144">
        <f t="shared" si="68"/>
        <v>0</v>
      </c>
    </row>
    <row r="247" spans="1:49" x14ac:dyDescent="0.15">
      <c r="A247" s="173"/>
      <c r="B247" s="174"/>
      <c r="C247" s="174"/>
      <c r="D247" s="165" t="str">
        <f t="shared" si="53"/>
        <v xml:space="preserve"> </v>
      </c>
      <c r="E247" s="177"/>
      <c r="F247" s="287">
        <v>0</v>
      </c>
      <c r="G247" s="177">
        <v>37</v>
      </c>
      <c r="H247" s="177">
        <v>37</v>
      </c>
      <c r="I247" s="177"/>
      <c r="J247" s="179"/>
      <c r="K247" s="177"/>
      <c r="L247" s="179"/>
      <c r="M247" s="166"/>
      <c r="N247" s="166"/>
      <c r="O247" s="166"/>
      <c r="P247" s="166"/>
      <c r="Q247" s="167"/>
      <c r="R247" s="167"/>
      <c r="S247" s="168"/>
      <c r="V247" s="144">
        <f t="shared" si="60"/>
        <v>0</v>
      </c>
      <c r="W247" s="144">
        <f t="shared" si="61"/>
        <v>0</v>
      </c>
      <c r="X247" s="144">
        <f t="shared" si="69"/>
        <v>0</v>
      </c>
      <c r="Y247" s="144">
        <f t="shared" si="62"/>
        <v>34.464599999999997</v>
      </c>
      <c r="Z247" s="169">
        <f t="shared" si="54"/>
        <v>0</v>
      </c>
      <c r="AA247" s="274">
        <f t="shared" si="55"/>
        <v>0</v>
      </c>
      <c r="AB247" s="169">
        <f t="shared" si="63"/>
        <v>0</v>
      </c>
      <c r="AC247" s="274">
        <f t="shared" si="56"/>
        <v>0</v>
      </c>
      <c r="AD247" s="169">
        <f t="shared" si="57"/>
        <v>0</v>
      </c>
      <c r="AE247" s="274">
        <f t="shared" si="58"/>
        <v>0</v>
      </c>
      <c r="AF247" s="169">
        <f t="shared" si="64"/>
        <v>0</v>
      </c>
      <c r="AG247" s="274">
        <f t="shared" si="59"/>
        <v>0</v>
      </c>
      <c r="AH247" s="169">
        <f t="shared" si="65"/>
        <v>0</v>
      </c>
      <c r="AI247" s="169"/>
      <c r="AJ247" s="169">
        <f t="shared" si="66"/>
        <v>0</v>
      </c>
      <c r="AK247" s="169">
        <f t="shared" si="67"/>
        <v>0</v>
      </c>
      <c r="AL247" s="169"/>
      <c r="AM247" s="169"/>
      <c r="AN247" s="169"/>
      <c r="AQ247" s="169"/>
      <c r="AW247" s="144">
        <f t="shared" si="68"/>
        <v>0</v>
      </c>
    </row>
    <row r="248" spans="1:49" ht="9.75" thickBot="1" x14ac:dyDescent="0.2">
      <c r="A248" s="175"/>
      <c r="B248" s="176"/>
      <c r="C248" s="176"/>
      <c r="D248" s="170" t="str">
        <f t="shared" si="53"/>
        <v xml:space="preserve"> </v>
      </c>
      <c r="E248" s="178"/>
      <c r="F248" s="288">
        <v>0</v>
      </c>
      <c r="G248" s="178">
        <v>37</v>
      </c>
      <c r="H248" s="178">
        <v>37</v>
      </c>
      <c r="I248" s="178"/>
      <c r="J248" s="180"/>
      <c r="K248" s="178"/>
      <c r="L248" s="180"/>
      <c r="M248" s="180"/>
      <c r="N248" s="178"/>
      <c r="O248" s="178"/>
      <c r="P248" s="178"/>
      <c r="Q248" s="171">
        <f>AS248</f>
        <v>0</v>
      </c>
      <c r="R248" s="171">
        <f>AT248</f>
        <v>0</v>
      </c>
      <c r="S248" s="172">
        <f>AU248</f>
        <v>0</v>
      </c>
      <c r="U248" s="144">
        <f>IF(OR(C247=5,C248=5),0,1)</f>
        <v>1</v>
      </c>
      <c r="V248" s="144">
        <f t="shared" si="60"/>
        <v>0</v>
      </c>
      <c r="W248" s="144">
        <f t="shared" si="61"/>
        <v>0</v>
      </c>
      <c r="X248" s="144">
        <f t="shared" si="69"/>
        <v>0</v>
      </c>
      <c r="Y248" s="144">
        <f t="shared" si="62"/>
        <v>34.464599999999997</v>
      </c>
      <c r="Z248" s="169">
        <f t="shared" si="54"/>
        <v>0</v>
      </c>
      <c r="AA248" s="274">
        <f t="shared" si="55"/>
        <v>0</v>
      </c>
      <c r="AB248" s="169">
        <f t="shared" si="63"/>
        <v>0</v>
      </c>
      <c r="AC248" s="274">
        <f t="shared" si="56"/>
        <v>0</v>
      </c>
      <c r="AD248" s="169">
        <f t="shared" si="57"/>
        <v>0</v>
      </c>
      <c r="AE248" s="274">
        <f t="shared" si="58"/>
        <v>0</v>
      </c>
      <c r="AF248" s="169">
        <f t="shared" si="64"/>
        <v>0</v>
      </c>
      <c r="AG248" s="274">
        <f t="shared" si="59"/>
        <v>0</v>
      </c>
      <c r="AH248" s="169">
        <f t="shared" si="65"/>
        <v>0</v>
      </c>
      <c r="AI248" s="169"/>
      <c r="AJ248" s="169">
        <f t="shared" si="66"/>
        <v>0</v>
      </c>
      <c r="AK248" s="169">
        <f t="shared" si="67"/>
        <v>0</v>
      </c>
      <c r="AL248" s="169"/>
      <c r="AM248" s="169">
        <f>AK247*W247+AK248*W248</f>
        <v>0</v>
      </c>
      <c r="AN248" s="169">
        <f>(SUM(AD247:AG247)*W247+SUM(AD248:AG248)*W248)*12*VLOOKUP(C248,JNovergang,3,1)</f>
        <v>0</v>
      </c>
      <c r="AO248" s="169">
        <f>AM248-AN248</f>
        <v>0</v>
      </c>
      <c r="AP248" s="169">
        <f>M248*(100+X248)%</f>
        <v>0</v>
      </c>
      <c r="AQ248" s="274">
        <f>ROUND(M248*F248,2)</f>
        <v>0</v>
      </c>
      <c r="AS248" s="274">
        <f>ROUND((AP248+AQ248)+AM248*(N248/12),0)</f>
        <v>0</v>
      </c>
      <c r="AT248" s="274">
        <f>ROUND(AM248*(O248/12),0)</f>
        <v>0</v>
      </c>
      <c r="AU248" s="274">
        <f>ROUND(AM248*(P248/12)*U248,0)</f>
        <v>0</v>
      </c>
      <c r="AW248" s="144">
        <f t="shared" si="68"/>
        <v>0</v>
      </c>
    </row>
    <row r="249" spans="1:49" x14ac:dyDescent="0.15">
      <c r="A249" s="173"/>
      <c r="B249" s="174"/>
      <c r="C249" s="174"/>
      <c r="D249" s="165" t="str">
        <f t="shared" si="53"/>
        <v xml:space="preserve"> </v>
      </c>
      <c r="E249" s="177"/>
      <c r="F249" s="287">
        <v>0</v>
      </c>
      <c r="G249" s="177">
        <v>37</v>
      </c>
      <c r="H249" s="177">
        <v>37</v>
      </c>
      <c r="I249" s="177"/>
      <c r="J249" s="179"/>
      <c r="K249" s="177"/>
      <c r="L249" s="179"/>
      <c r="M249" s="166"/>
      <c r="N249" s="166"/>
      <c r="O249" s="166"/>
      <c r="P249" s="166"/>
      <c r="Q249" s="167"/>
      <c r="R249" s="167"/>
      <c r="S249" s="168"/>
      <c r="V249" s="144">
        <f t="shared" si="60"/>
        <v>0</v>
      </c>
      <c r="W249" s="144">
        <f t="shared" si="61"/>
        <v>0</v>
      </c>
      <c r="X249" s="144">
        <f t="shared" si="69"/>
        <v>0</v>
      </c>
      <c r="Y249" s="144">
        <f t="shared" si="62"/>
        <v>34.464599999999997</v>
      </c>
      <c r="Z249" s="169">
        <f t="shared" si="54"/>
        <v>0</v>
      </c>
      <c r="AA249" s="274">
        <f t="shared" si="55"/>
        <v>0</v>
      </c>
      <c r="AB249" s="169">
        <f t="shared" si="63"/>
        <v>0</v>
      </c>
      <c r="AC249" s="274">
        <f t="shared" si="56"/>
        <v>0</v>
      </c>
      <c r="AD249" s="169">
        <f t="shared" si="57"/>
        <v>0</v>
      </c>
      <c r="AE249" s="274">
        <f t="shared" si="58"/>
        <v>0</v>
      </c>
      <c r="AF249" s="169">
        <f t="shared" si="64"/>
        <v>0</v>
      </c>
      <c r="AG249" s="274">
        <f t="shared" si="59"/>
        <v>0</v>
      </c>
      <c r="AH249" s="169">
        <f t="shared" si="65"/>
        <v>0</v>
      </c>
      <c r="AI249" s="169"/>
      <c r="AJ249" s="169">
        <f t="shared" si="66"/>
        <v>0</v>
      </c>
      <c r="AK249" s="169">
        <f t="shared" si="67"/>
        <v>0</v>
      </c>
      <c r="AL249" s="169"/>
      <c r="AM249" s="169"/>
      <c r="AN249" s="169"/>
      <c r="AQ249" s="169"/>
      <c r="AW249" s="144">
        <f t="shared" si="68"/>
        <v>0</v>
      </c>
    </row>
    <row r="250" spans="1:49" ht="9.75" thickBot="1" x14ac:dyDescent="0.2">
      <c r="A250" s="175"/>
      <c r="B250" s="176"/>
      <c r="C250" s="176"/>
      <c r="D250" s="170" t="str">
        <f t="shared" si="53"/>
        <v xml:space="preserve"> </v>
      </c>
      <c r="E250" s="178"/>
      <c r="F250" s="288">
        <v>0</v>
      </c>
      <c r="G250" s="178">
        <v>37</v>
      </c>
      <c r="H250" s="178">
        <v>37</v>
      </c>
      <c r="I250" s="178"/>
      <c r="J250" s="180"/>
      <c r="K250" s="178"/>
      <c r="L250" s="180"/>
      <c r="M250" s="180"/>
      <c r="N250" s="178"/>
      <c r="O250" s="178"/>
      <c r="P250" s="178"/>
      <c r="Q250" s="171">
        <f>AS250</f>
        <v>0</v>
      </c>
      <c r="R250" s="171">
        <f>AT250</f>
        <v>0</v>
      </c>
      <c r="S250" s="172">
        <f>AU250</f>
        <v>0</v>
      </c>
      <c r="U250" s="144">
        <f>IF(OR(C249=5,C250=5),0,1)</f>
        <v>1</v>
      </c>
      <c r="V250" s="144">
        <f t="shared" si="60"/>
        <v>0</v>
      </c>
      <c r="W250" s="144">
        <f t="shared" si="61"/>
        <v>0</v>
      </c>
      <c r="X250" s="144">
        <f t="shared" si="69"/>
        <v>0</v>
      </c>
      <c r="Y250" s="144">
        <f t="shared" si="62"/>
        <v>34.464599999999997</v>
      </c>
      <c r="Z250" s="169">
        <f t="shared" si="54"/>
        <v>0</v>
      </c>
      <c r="AA250" s="274">
        <f t="shared" si="55"/>
        <v>0</v>
      </c>
      <c r="AB250" s="169">
        <f t="shared" si="63"/>
        <v>0</v>
      </c>
      <c r="AC250" s="274">
        <f t="shared" si="56"/>
        <v>0</v>
      </c>
      <c r="AD250" s="169">
        <f t="shared" si="57"/>
        <v>0</v>
      </c>
      <c r="AE250" s="274">
        <f t="shared" si="58"/>
        <v>0</v>
      </c>
      <c r="AF250" s="169">
        <f t="shared" si="64"/>
        <v>0</v>
      </c>
      <c r="AG250" s="274">
        <f t="shared" si="59"/>
        <v>0</v>
      </c>
      <c r="AH250" s="169">
        <f t="shared" si="65"/>
        <v>0</v>
      </c>
      <c r="AI250" s="169"/>
      <c r="AJ250" s="169">
        <f t="shared" si="66"/>
        <v>0</v>
      </c>
      <c r="AK250" s="169">
        <f t="shared" si="67"/>
        <v>0</v>
      </c>
      <c r="AL250" s="169"/>
      <c r="AM250" s="169">
        <f>AK249*W249+AK250*W250</f>
        <v>0</v>
      </c>
      <c r="AN250" s="169">
        <f>(SUM(AD249:AG249)*W249+SUM(AD250:AG250)*W250)*12*VLOOKUP(C250,JNovergang,3,1)</f>
        <v>0</v>
      </c>
      <c r="AO250" s="169">
        <f>AM250-AN250</f>
        <v>0</v>
      </c>
      <c r="AP250" s="169">
        <f>M250*(100+X250)%</f>
        <v>0</v>
      </c>
      <c r="AQ250" s="274">
        <f>ROUND(M250*F250,2)</f>
        <v>0</v>
      </c>
      <c r="AS250" s="274">
        <f>ROUND((AP250+AQ250)+AM250*(N250/12),0)</f>
        <v>0</v>
      </c>
      <c r="AT250" s="274">
        <f>ROUND(AM250*(O250/12),0)</f>
        <v>0</v>
      </c>
      <c r="AU250" s="274">
        <f>ROUND(AM250*(P250/12)*U250,0)</f>
        <v>0</v>
      </c>
      <c r="AW250" s="144">
        <f t="shared" si="68"/>
        <v>0</v>
      </c>
    </row>
    <row r="251" spans="1:49" x14ac:dyDescent="0.15">
      <c r="A251" s="173"/>
      <c r="B251" s="174"/>
      <c r="C251" s="174"/>
      <c r="D251" s="165" t="str">
        <f t="shared" si="53"/>
        <v xml:space="preserve"> </v>
      </c>
      <c r="E251" s="177"/>
      <c r="F251" s="287">
        <v>0</v>
      </c>
      <c r="G251" s="177">
        <v>37</v>
      </c>
      <c r="H251" s="177">
        <v>37</v>
      </c>
      <c r="I251" s="177"/>
      <c r="J251" s="179"/>
      <c r="K251" s="177"/>
      <c r="L251" s="179"/>
      <c r="M251" s="166"/>
      <c r="N251" s="166"/>
      <c r="O251" s="166"/>
      <c r="P251" s="166"/>
      <c r="Q251" s="167"/>
      <c r="R251" s="167"/>
      <c r="S251" s="168"/>
      <c r="V251" s="144">
        <f t="shared" si="60"/>
        <v>0</v>
      </c>
      <c r="W251" s="144">
        <f t="shared" si="61"/>
        <v>0</v>
      </c>
      <c r="X251" s="144">
        <f t="shared" si="69"/>
        <v>0</v>
      </c>
      <c r="Y251" s="144">
        <f t="shared" si="62"/>
        <v>34.464599999999997</v>
      </c>
      <c r="Z251" s="169">
        <f t="shared" si="54"/>
        <v>0</v>
      </c>
      <c r="AA251" s="274">
        <f t="shared" si="55"/>
        <v>0</v>
      </c>
      <c r="AB251" s="169">
        <f t="shared" si="63"/>
        <v>0</v>
      </c>
      <c r="AC251" s="274">
        <f t="shared" si="56"/>
        <v>0</v>
      </c>
      <c r="AD251" s="169">
        <f t="shared" si="57"/>
        <v>0</v>
      </c>
      <c r="AE251" s="274">
        <f t="shared" si="58"/>
        <v>0</v>
      </c>
      <c r="AF251" s="169">
        <f t="shared" si="64"/>
        <v>0</v>
      </c>
      <c r="AG251" s="274">
        <f t="shared" si="59"/>
        <v>0</v>
      </c>
      <c r="AH251" s="169">
        <f t="shared" si="65"/>
        <v>0</v>
      </c>
      <c r="AI251" s="169"/>
      <c r="AJ251" s="169">
        <f t="shared" si="66"/>
        <v>0</v>
      </c>
      <c r="AK251" s="169">
        <f t="shared" si="67"/>
        <v>0</v>
      </c>
      <c r="AL251" s="169"/>
      <c r="AM251" s="169"/>
      <c r="AN251" s="169"/>
      <c r="AQ251" s="169"/>
      <c r="AW251" s="144">
        <f t="shared" si="68"/>
        <v>0</v>
      </c>
    </row>
    <row r="252" spans="1:49" ht="9.75" thickBot="1" x14ac:dyDescent="0.2">
      <c r="A252" s="175"/>
      <c r="B252" s="176"/>
      <c r="C252" s="176"/>
      <c r="D252" s="170" t="str">
        <f t="shared" si="53"/>
        <v xml:space="preserve"> </v>
      </c>
      <c r="E252" s="178"/>
      <c r="F252" s="288">
        <v>0</v>
      </c>
      <c r="G252" s="178">
        <v>37</v>
      </c>
      <c r="H252" s="178">
        <v>37</v>
      </c>
      <c r="I252" s="178"/>
      <c r="J252" s="180"/>
      <c r="K252" s="178"/>
      <c r="L252" s="180"/>
      <c r="M252" s="180"/>
      <c r="N252" s="178"/>
      <c r="O252" s="178"/>
      <c r="P252" s="178"/>
      <c r="Q252" s="171">
        <f>AS252</f>
        <v>0</v>
      </c>
      <c r="R252" s="171">
        <f>AT252</f>
        <v>0</v>
      </c>
      <c r="S252" s="172">
        <f>AU252</f>
        <v>0</v>
      </c>
      <c r="U252" s="144">
        <f>IF(OR(C251=5,C252=5),0,1)</f>
        <v>1</v>
      </c>
      <c r="V252" s="144">
        <f t="shared" si="60"/>
        <v>0</v>
      </c>
      <c r="W252" s="144">
        <f t="shared" si="61"/>
        <v>0</v>
      </c>
      <c r="X252" s="144">
        <f t="shared" si="69"/>
        <v>0</v>
      </c>
      <c r="Y252" s="144">
        <f t="shared" si="62"/>
        <v>34.464599999999997</v>
      </c>
      <c r="Z252" s="169">
        <f t="shared" si="54"/>
        <v>0</v>
      </c>
      <c r="AA252" s="274">
        <f t="shared" si="55"/>
        <v>0</v>
      </c>
      <c r="AB252" s="169">
        <f t="shared" si="63"/>
        <v>0</v>
      </c>
      <c r="AC252" s="274">
        <f t="shared" si="56"/>
        <v>0</v>
      </c>
      <c r="AD252" s="169">
        <f t="shared" si="57"/>
        <v>0</v>
      </c>
      <c r="AE252" s="274">
        <f t="shared" si="58"/>
        <v>0</v>
      </c>
      <c r="AF252" s="169">
        <f t="shared" si="64"/>
        <v>0</v>
      </c>
      <c r="AG252" s="274">
        <f t="shared" si="59"/>
        <v>0</v>
      </c>
      <c r="AH252" s="169">
        <f t="shared" si="65"/>
        <v>0</v>
      </c>
      <c r="AI252" s="169"/>
      <c r="AJ252" s="169">
        <f t="shared" si="66"/>
        <v>0</v>
      </c>
      <c r="AK252" s="169">
        <f t="shared" si="67"/>
        <v>0</v>
      </c>
      <c r="AL252" s="169"/>
      <c r="AM252" s="169">
        <f>AK251*W251+AK252*W252</f>
        <v>0</v>
      </c>
      <c r="AN252" s="169">
        <f>(SUM(AD251:AG251)*W251+SUM(AD252:AG252)*W252)*12*VLOOKUP(C252,JNovergang,3,1)</f>
        <v>0</v>
      </c>
      <c r="AO252" s="169">
        <f>AM252-AN252</f>
        <v>0</v>
      </c>
      <c r="AP252" s="169">
        <f>M252*(100+X252)%</f>
        <v>0</v>
      </c>
      <c r="AQ252" s="274">
        <f>ROUND(M252*F252,2)</f>
        <v>0</v>
      </c>
      <c r="AS252" s="274">
        <f>ROUND((AP252+AQ252)+AM252*(N252/12),0)</f>
        <v>0</v>
      </c>
      <c r="AT252" s="274">
        <f>ROUND(AM252*(O252/12),0)</f>
        <v>0</v>
      </c>
      <c r="AU252" s="274">
        <f>ROUND(AM252*(P252/12)*U252,0)</f>
        <v>0</v>
      </c>
      <c r="AW252" s="144">
        <f t="shared" si="68"/>
        <v>0</v>
      </c>
    </row>
    <row r="253" spans="1:49" x14ac:dyDescent="0.15">
      <c r="A253" s="173"/>
      <c r="B253" s="174"/>
      <c r="C253" s="174"/>
      <c r="D253" s="165" t="str">
        <f t="shared" si="53"/>
        <v xml:space="preserve"> </v>
      </c>
      <c r="E253" s="177"/>
      <c r="F253" s="287">
        <v>0</v>
      </c>
      <c r="G253" s="177">
        <v>37</v>
      </c>
      <c r="H253" s="177">
        <v>37</v>
      </c>
      <c r="I253" s="177"/>
      <c r="J253" s="179"/>
      <c r="K253" s="177"/>
      <c r="L253" s="179"/>
      <c r="M253" s="166"/>
      <c r="N253" s="166"/>
      <c r="O253" s="166"/>
      <c r="P253" s="166"/>
      <c r="Q253" s="167"/>
      <c r="R253" s="167"/>
      <c r="S253" s="168"/>
      <c r="V253" s="144">
        <f t="shared" si="60"/>
        <v>0</v>
      </c>
      <c r="W253" s="144">
        <f t="shared" si="61"/>
        <v>0</v>
      </c>
      <c r="X253" s="144">
        <f t="shared" si="69"/>
        <v>0</v>
      </c>
      <c r="Y253" s="144">
        <f t="shared" si="62"/>
        <v>34.464599999999997</v>
      </c>
      <c r="Z253" s="169">
        <f t="shared" si="54"/>
        <v>0</v>
      </c>
      <c r="AA253" s="274">
        <f t="shared" si="55"/>
        <v>0</v>
      </c>
      <c r="AB253" s="169">
        <f t="shared" si="63"/>
        <v>0</v>
      </c>
      <c r="AC253" s="274">
        <f t="shared" si="56"/>
        <v>0</v>
      </c>
      <c r="AD253" s="169">
        <f t="shared" si="57"/>
        <v>0</v>
      </c>
      <c r="AE253" s="274">
        <f t="shared" si="58"/>
        <v>0</v>
      </c>
      <c r="AF253" s="169">
        <f t="shared" si="64"/>
        <v>0</v>
      </c>
      <c r="AG253" s="274">
        <f t="shared" si="59"/>
        <v>0</v>
      </c>
      <c r="AH253" s="169">
        <f t="shared" si="65"/>
        <v>0</v>
      </c>
      <c r="AI253" s="169"/>
      <c r="AJ253" s="169">
        <f t="shared" si="66"/>
        <v>0</v>
      </c>
      <c r="AK253" s="169">
        <f t="shared" si="67"/>
        <v>0</v>
      </c>
      <c r="AL253" s="169"/>
      <c r="AM253" s="169"/>
      <c r="AN253" s="169"/>
      <c r="AQ253" s="169"/>
      <c r="AW253" s="144">
        <f t="shared" si="68"/>
        <v>0</v>
      </c>
    </row>
    <row r="254" spans="1:49" ht="9.75" thickBot="1" x14ac:dyDescent="0.2">
      <c r="A254" s="175"/>
      <c r="B254" s="176"/>
      <c r="C254" s="176"/>
      <c r="D254" s="170" t="str">
        <f t="shared" si="53"/>
        <v xml:space="preserve"> </v>
      </c>
      <c r="E254" s="178"/>
      <c r="F254" s="288">
        <v>0</v>
      </c>
      <c r="G254" s="178">
        <v>37</v>
      </c>
      <c r="H254" s="178">
        <v>37</v>
      </c>
      <c r="I254" s="178"/>
      <c r="J254" s="180"/>
      <c r="K254" s="178"/>
      <c r="L254" s="180"/>
      <c r="M254" s="180"/>
      <c r="N254" s="178"/>
      <c r="O254" s="178"/>
      <c r="P254" s="178"/>
      <c r="Q254" s="171">
        <f>AS254</f>
        <v>0</v>
      </c>
      <c r="R254" s="171">
        <f>AT254</f>
        <v>0</v>
      </c>
      <c r="S254" s="172">
        <f>AU254</f>
        <v>0</v>
      </c>
      <c r="U254" s="144">
        <f>IF(OR(C253=5,C254=5),0,1)</f>
        <v>1</v>
      </c>
      <c r="V254" s="144">
        <f t="shared" si="60"/>
        <v>0</v>
      </c>
      <c r="W254" s="144">
        <f t="shared" si="61"/>
        <v>0</v>
      </c>
      <c r="X254" s="144">
        <f t="shared" si="69"/>
        <v>0</v>
      </c>
      <c r="Y254" s="144">
        <f t="shared" si="62"/>
        <v>34.464599999999997</v>
      </c>
      <c r="Z254" s="169">
        <f t="shared" si="54"/>
        <v>0</v>
      </c>
      <c r="AA254" s="274">
        <f t="shared" si="55"/>
        <v>0</v>
      </c>
      <c r="AB254" s="169">
        <f t="shared" si="63"/>
        <v>0</v>
      </c>
      <c r="AC254" s="274">
        <f t="shared" si="56"/>
        <v>0</v>
      </c>
      <c r="AD254" s="169">
        <f t="shared" si="57"/>
        <v>0</v>
      </c>
      <c r="AE254" s="274">
        <f t="shared" si="58"/>
        <v>0</v>
      </c>
      <c r="AF254" s="169">
        <f t="shared" si="64"/>
        <v>0</v>
      </c>
      <c r="AG254" s="274">
        <f t="shared" si="59"/>
        <v>0</v>
      </c>
      <c r="AH254" s="169">
        <f t="shared" si="65"/>
        <v>0</v>
      </c>
      <c r="AI254" s="169"/>
      <c r="AJ254" s="169">
        <f t="shared" si="66"/>
        <v>0</v>
      </c>
      <c r="AK254" s="169">
        <f t="shared" si="67"/>
        <v>0</v>
      </c>
      <c r="AL254" s="169"/>
      <c r="AM254" s="169">
        <f>AK253*W253+AK254*W254</f>
        <v>0</v>
      </c>
      <c r="AN254" s="169">
        <f>(SUM(AD253:AG253)*W253+SUM(AD254:AG254)*W254)*12*VLOOKUP(C254,JNovergang,3,1)</f>
        <v>0</v>
      </c>
      <c r="AO254" s="169">
        <f>AM254-AN254</f>
        <v>0</v>
      </c>
      <c r="AP254" s="169">
        <f>M254*(100+X254)%</f>
        <v>0</v>
      </c>
      <c r="AQ254" s="274">
        <f>ROUND(M254*F254,2)</f>
        <v>0</v>
      </c>
      <c r="AS254" s="274">
        <f>ROUND((AP254+AQ254)+AM254*(N254/12),0)</f>
        <v>0</v>
      </c>
      <c r="AT254" s="274">
        <f>ROUND(AM254*(O254/12),0)</f>
        <v>0</v>
      </c>
      <c r="AU254" s="274">
        <f>ROUND(AM254*(P254/12)*U254,0)</f>
        <v>0</v>
      </c>
      <c r="AW254" s="144">
        <f t="shared" si="68"/>
        <v>0</v>
      </c>
    </row>
    <row r="255" spans="1:49" x14ac:dyDescent="0.15">
      <c r="A255" s="173"/>
      <c r="B255" s="174"/>
      <c r="C255" s="174"/>
      <c r="D255" s="165" t="str">
        <f t="shared" si="53"/>
        <v xml:space="preserve"> </v>
      </c>
      <c r="E255" s="177"/>
      <c r="F255" s="287">
        <v>0</v>
      </c>
      <c r="G255" s="177">
        <v>37</v>
      </c>
      <c r="H255" s="177">
        <v>37</v>
      </c>
      <c r="I255" s="177"/>
      <c r="J255" s="179"/>
      <c r="K255" s="177"/>
      <c r="L255" s="179"/>
      <c r="M255" s="166"/>
      <c r="N255" s="166"/>
      <c r="O255" s="166"/>
      <c r="P255" s="166"/>
      <c r="Q255" s="167"/>
      <c r="R255" s="167"/>
      <c r="S255" s="168"/>
      <c r="V255" s="144">
        <f t="shared" si="60"/>
        <v>0</v>
      </c>
      <c r="W255" s="144">
        <f t="shared" si="61"/>
        <v>0</v>
      </c>
      <c r="X255" s="144">
        <f t="shared" si="69"/>
        <v>0</v>
      </c>
      <c r="Y255" s="144">
        <f t="shared" si="62"/>
        <v>34.464599999999997</v>
      </c>
      <c r="Z255" s="169">
        <f t="shared" si="54"/>
        <v>0</v>
      </c>
      <c r="AA255" s="274">
        <f t="shared" si="55"/>
        <v>0</v>
      </c>
      <c r="AB255" s="169">
        <f t="shared" si="63"/>
        <v>0</v>
      </c>
      <c r="AC255" s="274">
        <f t="shared" si="56"/>
        <v>0</v>
      </c>
      <c r="AD255" s="169">
        <f t="shared" si="57"/>
        <v>0</v>
      </c>
      <c r="AE255" s="274">
        <f t="shared" si="58"/>
        <v>0</v>
      </c>
      <c r="AF255" s="169">
        <f t="shared" si="64"/>
        <v>0</v>
      </c>
      <c r="AG255" s="274">
        <f t="shared" si="59"/>
        <v>0</v>
      </c>
      <c r="AH255" s="169">
        <f t="shared" si="65"/>
        <v>0</v>
      </c>
      <c r="AI255" s="169"/>
      <c r="AJ255" s="169">
        <f t="shared" si="66"/>
        <v>0</v>
      </c>
      <c r="AK255" s="169">
        <f t="shared" si="67"/>
        <v>0</v>
      </c>
      <c r="AL255" s="169"/>
      <c r="AM255" s="169"/>
      <c r="AN255" s="169"/>
      <c r="AQ255" s="169"/>
      <c r="AW255" s="144">
        <f t="shared" si="68"/>
        <v>0</v>
      </c>
    </row>
    <row r="256" spans="1:49" ht="9.75" thickBot="1" x14ac:dyDescent="0.2">
      <c r="A256" s="175"/>
      <c r="B256" s="176"/>
      <c r="C256" s="176"/>
      <c r="D256" s="170" t="str">
        <f t="shared" si="53"/>
        <v xml:space="preserve"> </v>
      </c>
      <c r="E256" s="178"/>
      <c r="F256" s="288">
        <v>0</v>
      </c>
      <c r="G256" s="178">
        <v>37</v>
      </c>
      <c r="H256" s="178">
        <v>37</v>
      </c>
      <c r="I256" s="178"/>
      <c r="J256" s="180"/>
      <c r="K256" s="178"/>
      <c r="L256" s="180"/>
      <c r="M256" s="180"/>
      <c r="N256" s="178"/>
      <c r="O256" s="178"/>
      <c r="P256" s="178"/>
      <c r="Q256" s="171">
        <f>AS256</f>
        <v>0</v>
      </c>
      <c r="R256" s="171">
        <f>AT256</f>
        <v>0</v>
      </c>
      <c r="S256" s="172">
        <f>AU256</f>
        <v>0</v>
      </c>
      <c r="U256" s="144">
        <f>IF(OR(C255=5,C256=5),0,1)</f>
        <v>1</v>
      </c>
      <c r="V256" s="144">
        <f t="shared" si="60"/>
        <v>0</v>
      </c>
      <c r="W256" s="144">
        <f t="shared" si="61"/>
        <v>0</v>
      </c>
      <c r="X256" s="144">
        <f t="shared" si="69"/>
        <v>0</v>
      </c>
      <c r="Y256" s="144">
        <f t="shared" si="62"/>
        <v>34.464599999999997</v>
      </c>
      <c r="Z256" s="169">
        <f t="shared" si="54"/>
        <v>0</v>
      </c>
      <c r="AA256" s="274">
        <f t="shared" si="55"/>
        <v>0</v>
      </c>
      <c r="AB256" s="169">
        <f t="shared" si="63"/>
        <v>0</v>
      </c>
      <c r="AC256" s="274">
        <f t="shared" si="56"/>
        <v>0</v>
      </c>
      <c r="AD256" s="169">
        <f t="shared" si="57"/>
        <v>0</v>
      </c>
      <c r="AE256" s="274">
        <f t="shared" si="58"/>
        <v>0</v>
      </c>
      <c r="AF256" s="169">
        <f t="shared" si="64"/>
        <v>0</v>
      </c>
      <c r="AG256" s="274">
        <f t="shared" si="59"/>
        <v>0</v>
      </c>
      <c r="AH256" s="169">
        <f t="shared" si="65"/>
        <v>0</v>
      </c>
      <c r="AI256" s="169"/>
      <c r="AJ256" s="169">
        <f t="shared" si="66"/>
        <v>0</v>
      </c>
      <c r="AK256" s="169">
        <f t="shared" si="67"/>
        <v>0</v>
      </c>
      <c r="AL256" s="169"/>
      <c r="AM256" s="169">
        <f>AK255*W255+AK256*W256</f>
        <v>0</v>
      </c>
      <c r="AN256" s="169">
        <f>(SUM(AD255:AG255)*W255+SUM(AD256:AG256)*W256)*12*VLOOKUP(C256,JNovergang,3,1)</f>
        <v>0</v>
      </c>
      <c r="AO256" s="169">
        <f>AM256-AN256</f>
        <v>0</v>
      </c>
      <c r="AP256" s="169">
        <f>M256*(100+X256)%</f>
        <v>0</v>
      </c>
      <c r="AQ256" s="274">
        <f>ROUND(M256*F256,2)</f>
        <v>0</v>
      </c>
      <c r="AS256" s="274">
        <f>ROUND((AP256+AQ256)+AM256*(N256/12),0)</f>
        <v>0</v>
      </c>
      <c r="AT256" s="274">
        <f>ROUND(AM256*(O256/12),0)</f>
        <v>0</v>
      </c>
      <c r="AU256" s="274">
        <f>ROUND(AM256*(P256/12)*U256,0)</f>
        <v>0</v>
      </c>
      <c r="AW256" s="144">
        <f t="shared" si="68"/>
        <v>0</v>
      </c>
    </row>
    <row r="257" spans="1:49" x14ac:dyDescent="0.15">
      <c r="A257" s="173"/>
      <c r="B257" s="174"/>
      <c r="C257" s="174"/>
      <c r="D257" s="165" t="str">
        <f t="shared" si="53"/>
        <v xml:space="preserve"> </v>
      </c>
      <c r="E257" s="177"/>
      <c r="F257" s="287">
        <v>0</v>
      </c>
      <c r="G257" s="177">
        <v>37</v>
      </c>
      <c r="H257" s="177">
        <v>37</v>
      </c>
      <c r="I257" s="177"/>
      <c r="J257" s="179"/>
      <c r="K257" s="177"/>
      <c r="L257" s="179"/>
      <c r="M257" s="166"/>
      <c r="N257" s="166"/>
      <c r="O257" s="166"/>
      <c r="P257" s="166"/>
      <c r="Q257" s="167"/>
      <c r="R257" s="167"/>
      <c r="S257" s="168"/>
      <c r="V257" s="144">
        <f t="shared" si="60"/>
        <v>0</v>
      </c>
      <c r="W257" s="144">
        <f t="shared" si="61"/>
        <v>0</v>
      </c>
      <c r="X257" s="144">
        <f t="shared" si="69"/>
        <v>0</v>
      </c>
      <c r="Y257" s="144">
        <f t="shared" si="62"/>
        <v>34.464599999999997</v>
      </c>
      <c r="Z257" s="169">
        <f t="shared" si="54"/>
        <v>0</v>
      </c>
      <c r="AA257" s="274">
        <f t="shared" si="55"/>
        <v>0</v>
      </c>
      <c r="AB257" s="169">
        <f t="shared" si="63"/>
        <v>0</v>
      </c>
      <c r="AC257" s="274">
        <f t="shared" si="56"/>
        <v>0</v>
      </c>
      <c r="AD257" s="169">
        <f t="shared" si="57"/>
        <v>0</v>
      </c>
      <c r="AE257" s="274">
        <f t="shared" si="58"/>
        <v>0</v>
      </c>
      <c r="AF257" s="169">
        <f t="shared" si="64"/>
        <v>0</v>
      </c>
      <c r="AG257" s="274">
        <f t="shared" si="59"/>
        <v>0</v>
      </c>
      <c r="AH257" s="169">
        <f t="shared" si="65"/>
        <v>0</v>
      </c>
      <c r="AI257" s="169"/>
      <c r="AJ257" s="169">
        <f t="shared" si="66"/>
        <v>0</v>
      </c>
      <c r="AK257" s="169">
        <f t="shared" si="67"/>
        <v>0</v>
      </c>
      <c r="AL257" s="169"/>
      <c r="AM257" s="169"/>
      <c r="AN257" s="169"/>
      <c r="AQ257" s="169"/>
      <c r="AW257" s="144">
        <f t="shared" si="68"/>
        <v>0</v>
      </c>
    </row>
    <row r="258" spans="1:49" ht="9.75" thickBot="1" x14ac:dyDescent="0.2">
      <c r="A258" s="175"/>
      <c r="B258" s="176"/>
      <c r="C258" s="176"/>
      <c r="D258" s="170" t="str">
        <f>VLOOKUP(C258,Tabelændringskode,2,1)</f>
        <v xml:space="preserve"> </v>
      </c>
      <c r="E258" s="178"/>
      <c r="F258" s="288">
        <v>0</v>
      </c>
      <c r="G258" s="178">
        <v>37</v>
      </c>
      <c r="H258" s="178">
        <v>37</v>
      </c>
      <c r="I258" s="178"/>
      <c r="J258" s="180"/>
      <c r="K258" s="178"/>
      <c r="L258" s="180"/>
      <c r="M258" s="180"/>
      <c r="N258" s="178"/>
      <c r="O258" s="178"/>
      <c r="P258" s="178"/>
      <c r="Q258" s="171">
        <f>AS258</f>
        <v>0</v>
      </c>
      <c r="R258" s="171">
        <f>AT258</f>
        <v>0</v>
      </c>
      <c r="S258" s="172">
        <f>AU258</f>
        <v>0</v>
      </c>
      <c r="U258" s="144">
        <f>IF(OR(C257=5,C258=5),0,1)</f>
        <v>1</v>
      </c>
      <c r="V258" s="144">
        <f t="shared" si="60"/>
        <v>0</v>
      </c>
      <c r="W258" s="144">
        <f t="shared" si="61"/>
        <v>0</v>
      </c>
      <c r="X258" s="144">
        <f t="shared" si="69"/>
        <v>0</v>
      </c>
      <c r="Y258" s="144">
        <f t="shared" si="62"/>
        <v>34.464599999999997</v>
      </c>
      <c r="Z258" s="169">
        <f t="shared" si="54"/>
        <v>0</v>
      </c>
      <c r="AA258" s="274">
        <f t="shared" si="55"/>
        <v>0</v>
      </c>
      <c r="AB258" s="169">
        <f t="shared" si="63"/>
        <v>0</v>
      </c>
      <c r="AC258" s="274">
        <f t="shared" si="56"/>
        <v>0</v>
      </c>
      <c r="AD258" s="169">
        <f t="shared" si="57"/>
        <v>0</v>
      </c>
      <c r="AE258" s="274">
        <f t="shared" si="58"/>
        <v>0</v>
      </c>
      <c r="AF258" s="169">
        <f t="shared" si="64"/>
        <v>0</v>
      </c>
      <c r="AG258" s="274">
        <f t="shared" si="59"/>
        <v>0</v>
      </c>
      <c r="AH258" s="169">
        <f t="shared" si="65"/>
        <v>0</v>
      </c>
      <c r="AI258" s="169"/>
      <c r="AJ258" s="169">
        <f t="shared" si="66"/>
        <v>0</v>
      </c>
      <c r="AK258" s="169">
        <f t="shared" si="67"/>
        <v>0</v>
      </c>
      <c r="AL258" s="169"/>
      <c r="AM258" s="169">
        <f>AK257*W257+AK258*W258</f>
        <v>0</v>
      </c>
      <c r="AN258" s="169">
        <f>(SUM(AD257:AG257)*W257+SUM(AD258:AG258)*W258)*12*VLOOKUP(C258,JNovergang,3,1)</f>
        <v>0</v>
      </c>
      <c r="AO258" s="169">
        <f>AM258-AN258</f>
        <v>0</v>
      </c>
      <c r="AP258" s="169">
        <f>M258*(100+X258)%</f>
        <v>0</v>
      </c>
      <c r="AQ258" s="274">
        <f>ROUND(M258*F258,2)</f>
        <v>0</v>
      </c>
      <c r="AS258" s="274">
        <f>ROUND((AP258+AQ258)+AM258*(N258/12),0)</f>
        <v>0</v>
      </c>
      <c r="AT258" s="274">
        <f>ROUND(AM258*(O258/12),0)</f>
        <v>0</v>
      </c>
      <c r="AU258" s="274">
        <f>ROUND(AM258*(P258/12)*U258,0)</f>
        <v>0</v>
      </c>
      <c r="AW258" s="144">
        <f t="shared" si="68"/>
        <v>0</v>
      </c>
    </row>
    <row r="259" spans="1:49" x14ac:dyDescent="0.15">
      <c r="A259" s="173"/>
      <c r="B259" s="174"/>
      <c r="C259" s="174"/>
      <c r="D259" s="165" t="str">
        <f t="shared" si="53"/>
        <v xml:space="preserve"> </v>
      </c>
      <c r="E259" s="177"/>
      <c r="F259" s="287">
        <v>0</v>
      </c>
      <c r="G259" s="177">
        <v>37</v>
      </c>
      <c r="H259" s="177">
        <v>37</v>
      </c>
      <c r="I259" s="177"/>
      <c r="J259" s="179"/>
      <c r="K259" s="177"/>
      <c r="L259" s="179"/>
      <c r="M259" s="166"/>
      <c r="N259" s="166"/>
      <c r="O259" s="166"/>
      <c r="P259" s="166"/>
      <c r="Q259" s="167"/>
      <c r="R259" s="167"/>
      <c r="S259" s="168"/>
      <c r="V259" s="144">
        <f t="shared" si="60"/>
        <v>0</v>
      </c>
      <c r="W259" s="144">
        <f t="shared" si="61"/>
        <v>0</v>
      </c>
      <c r="X259" s="144">
        <f t="shared" si="69"/>
        <v>0</v>
      </c>
      <c r="Y259" s="144">
        <f t="shared" si="62"/>
        <v>34.464599999999997</v>
      </c>
      <c r="Z259" s="169">
        <f t="shared" si="54"/>
        <v>0</v>
      </c>
      <c r="AA259" s="274">
        <f t="shared" si="55"/>
        <v>0</v>
      </c>
      <c r="AB259" s="169">
        <f t="shared" si="63"/>
        <v>0</v>
      </c>
      <c r="AC259" s="274">
        <f t="shared" si="56"/>
        <v>0</v>
      </c>
      <c r="AD259" s="169">
        <f t="shared" si="57"/>
        <v>0</v>
      </c>
      <c r="AE259" s="274">
        <f t="shared" si="58"/>
        <v>0</v>
      </c>
      <c r="AF259" s="169">
        <f t="shared" si="64"/>
        <v>0</v>
      </c>
      <c r="AG259" s="274">
        <f t="shared" si="59"/>
        <v>0</v>
      </c>
      <c r="AH259" s="169">
        <f t="shared" si="65"/>
        <v>0</v>
      </c>
      <c r="AI259" s="169"/>
      <c r="AJ259" s="169">
        <f t="shared" si="66"/>
        <v>0</v>
      </c>
      <c r="AK259" s="169">
        <f t="shared" si="67"/>
        <v>0</v>
      </c>
      <c r="AL259" s="169"/>
      <c r="AM259" s="169"/>
      <c r="AN259" s="169"/>
      <c r="AQ259" s="169"/>
      <c r="AW259" s="144">
        <f t="shared" si="68"/>
        <v>0</v>
      </c>
    </row>
    <row r="260" spans="1:49" ht="9.75" thickBot="1" x14ac:dyDescent="0.2">
      <c r="A260" s="175"/>
      <c r="B260" s="176"/>
      <c r="C260" s="176"/>
      <c r="D260" s="170" t="str">
        <f>VLOOKUP(C260,Tabelændringskode,2,1)</f>
        <v xml:space="preserve"> </v>
      </c>
      <c r="E260" s="178"/>
      <c r="F260" s="288">
        <v>0</v>
      </c>
      <c r="G260" s="178">
        <v>37</v>
      </c>
      <c r="H260" s="178">
        <v>37</v>
      </c>
      <c r="I260" s="178"/>
      <c r="J260" s="180"/>
      <c r="K260" s="178"/>
      <c r="L260" s="180"/>
      <c r="M260" s="180"/>
      <c r="N260" s="178"/>
      <c r="O260" s="178"/>
      <c r="P260" s="178"/>
      <c r="Q260" s="171">
        <f>AS260</f>
        <v>0</v>
      </c>
      <c r="R260" s="171">
        <f>AT260</f>
        <v>0</v>
      </c>
      <c r="S260" s="172">
        <f>AU260</f>
        <v>0</v>
      </c>
      <c r="U260" s="144">
        <f>IF(OR(C259=5,C260=5),0,1)</f>
        <v>1</v>
      </c>
      <c r="V260" s="144">
        <f t="shared" si="60"/>
        <v>0</v>
      </c>
      <c r="W260" s="144">
        <f t="shared" si="61"/>
        <v>0</v>
      </c>
      <c r="X260" s="144">
        <f t="shared" si="69"/>
        <v>0</v>
      </c>
      <c r="Y260" s="144">
        <f t="shared" si="62"/>
        <v>34.464599999999997</v>
      </c>
      <c r="Z260" s="169">
        <f t="shared" si="54"/>
        <v>0</v>
      </c>
      <c r="AA260" s="274">
        <f t="shared" si="55"/>
        <v>0</v>
      </c>
      <c r="AB260" s="169">
        <f t="shared" si="63"/>
        <v>0</v>
      </c>
      <c r="AC260" s="274">
        <f t="shared" si="56"/>
        <v>0</v>
      </c>
      <c r="AD260" s="169">
        <f t="shared" si="57"/>
        <v>0</v>
      </c>
      <c r="AE260" s="274">
        <f t="shared" si="58"/>
        <v>0</v>
      </c>
      <c r="AF260" s="169">
        <f t="shared" si="64"/>
        <v>0</v>
      </c>
      <c r="AG260" s="274">
        <f t="shared" si="59"/>
        <v>0</v>
      </c>
      <c r="AH260" s="169">
        <f t="shared" si="65"/>
        <v>0</v>
      </c>
      <c r="AI260" s="169"/>
      <c r="AJ260" s="169">
        <f t="shared" si="66"/>
        <v>0</v>
      </c>
      <c r="AK260" s="169">
        <f t="shared" si="67"/>
        <v>0</v>
      </c>
      <c r="AL260" s="169"/>
      <c r="AM260" s="169">
        <f>AK259*W259+AK260*W260</f>
        <v>0</v>
      </c>
      <c r="AN260" s="169">
        <f>(SUM(AD259:AG259)*W259+SUM(AD260:AG260)*W260)*12*VLOOKUP(C260,JNovergang,3,1)</f>
        <v>0</v>
      </c>
      <c r="AO260" s="169">
        <f>AM260-AN260</f>
        <v>0</v>
      </c>
      <c r="AP260" s="169">
        <f>M260*(100+X260)%</f>
        <v>0</v>
      </c>
      <c r="AQ260" s="274">
        <f>ROUND(M260*F260,2)</f>
        <v>0</v>
      </c>
      <c r="AS260" s="274">
        <f>ROUND((AP260+AQ260)+AM260*(N260/12),0)</f>
        <v>0</v>
      </c>
      <c r="AT260" s="274">
        <f>ROUND(AM260*(O260/12),0)</f>
        <v>0</v>
      </c>
      <c r="AU260" s="274">
        <f>ROUND(AM260*(P260/12)*U260,0)</f>
        <v>0</v>
      </c>
      <c r="AW260" s="144">
        <f t="shared" si="68"/>
        <v>0</v>
      </c>
    </row>
    <row r="261" spans="1:49" x14ac:dyDescent="0.15">
      <c r="A261" s="173"/>
      <c r="B261" s="174"/>
      <c r="C261" s="174"/>
      <c r="D261" s="165" t="str">
        <f t="shared" ref="D261:D281" si="70">VLOOKUP(C261,Tabelændringskode,2,1)</f>
        <v xml:space="preserve"> </v>
      </c>
      <c r="E261" s="177"/>
      <c r="F261" s="287">
        <v>0</v>
      </c>
      <c r="G261" s="177">
        <v>37</v>
      </c>
      <c r="H261" s="177">
        <v>37</v>
      </c>
      <c r="I261" s="177"/>
      <c r="J261" s="179"/>
      <c r="K261" s="177"/>
      <c r="L261" s="179"/>
      <c r="M261" s="166"/>
      <c r="N261" s="166"/>
      <c r="O261" s="166"/>
      <c r="P261" s="166"/>
      <c r="Q261" s="167"/>
      <c r="R261" s="167"/>
      <c r="S261" s="168"/>
      <c r="V261" s="144">
        <f t="shared" si="60"/>
        <v>0</v>
      </c>
      <c r="W261" s="144">
        <f t="shared" si="61"/>
        <v>0</v>
      </c>
      <c r="X261" s="144">
        <f t="shared" si="69"/>
        <v>0</v>
      </c>
      <c r="Y261" s="144">
        <f t="shared" si="62"/>
        <v>34.464599999999997</v>
      </c>
      <c r="Z261" s="169">
        <f t="shared" si="54"/>
        <v>0</v>
      </c>
      <c r="AA261" s="274">
        <f t="shared" si="55"/>
        <v>0</v>
      </c>
      <c r="AB261" s="169">
        <f t="shared" si="63"/>
        <v>0</v>
      </c>
      <c r="AC261" s="274">
        <f t="shared" si="56"/>
        <v>0</v>
      </c>
      <c r="AD261" s="169">
        <f t="shared" si="57"/>
        <v>0</v>
      </c>
      <c r="AE261" s="274">
        <f t="shared" si="58"/>
        <v>0</v>
      </c>
      <c r="AF261" s="169">
        <f t="shared" si="64"/>
        <v>0</v>
      </c>
      <c r="AG261" s="274">
        <f t="shared" si="59"/>
        <v>0</v>
      </c>
      <c r="AH261" s="169">
        <f t="shared" si="65"/>
        <v>0</v>
      </c>
      <c r="AI261" s="169"/>
      <c r="AJ261" s="169">
        <f t="shared" si="66"/>
        <v>0</v>
      </c>
      <c r="AK261" s="169">
        <f t="shared" si="67"/>
        <v>0</v>
      </c>
      <c r="AL261" s="169"/>
      <c r="AM261" s="169"/>
      <c r="AN261" s="169"/>
      <c r="AQ261" s="169"/>
      <c r="AW261" s="144">
        <f t="shared" si="68"/>
        <v>0</v>
      </c>
    </row>
    <row r="262" spans="1:49" ht="9.75" thickBot="1" x14ac:dyDescent="0.2">
      <c r="A262" s="175"/>
      <c r="B262" s="176"/>
      <c r="C262" s="176"/>
      <c r="D262" s="170" t="str">
        <f>VLOOKUP(C262,Tabelændringskode,2,1)</f>
        <v xml:space="preserve"> </v>
      </c>
      <c r="E262" s="178"/>
      <c r="F262" s="288">
        <v>0</v>
      </c>
      <c r="G262" s="178">
        <v>37</v>
      </c>
      <c r="H262" s="178">
        <v>37</v>
      </c>
      <c r="I262" s="178"/>
      <c r="J262" s="180"/>
      <c r="K262" s="178"/>
      <c r="L262" s="180"/>
      <c r="M262" s="180"/>
      <c r="N262" s="178"/>
      <c r="O262" s="178"/>
      <c r="P262" s="178"/>
      <c r="Q262" s="171">
        <f>AS262</f>
        <v>0</v>
      </c>
      <c r="R262" s="171">
        <f>AT262</f>
        <v>0</v>
      </c>
      <c r="S262" s="172">
        <f>AU262</f>
        <v>0</v>
      </c>
      <c r="U262" s="144">
        <f>IF(OR(C261=5,C262=5),0,1)</f>
        <v>1</v>
      </c>
      <c r="V262" s="144">
        <f t="shared" si="60"/>
        <v>0</v>
      </c>
      <c r="W262" s="144">
        <f t="shared" si="61"/>
        <v>0</v>
      </c>
      <c r="X262" s="144">
        <f t="shared" si="69"/>
        <v>0</v>
      </c>
      <c r="Y262" s="144">
        <f t="shared" si="62"/>
        <v>34.464599999999997</v>
      </c>
      <c r="Z262" s="169">
        <f t="shared" si="54"/>
        <v>0</v>
      </c>
      <c r="AA262" s="274">
        <f t="shared" si="55"/>
        <v>0</v>
      </c>
      <c r="AB262" s="169">
        <f t="shared" si="63"/>
        <v>0</v>
      </c>
      <c r="AC262" s="274">
        <f t="shared" si="56"/>
        <v>0</v>
      </c>
      <c r="AD262" s="169">
        <f t="shared" si="57"/>
        <v>0</v>
      </c>
      <c r="AE262" s="274">
        <f t="shared" si="58"/>
        <v>0</v>
      </c>
      <c r="AF262" s="169">
        <f t="shared" si="64"/>
        <v>0</v>
      </c>
      <c r="AG262" s="274">
        <f t="shared" si="59"/>
        <v>0</v>
      </c>
      <c r="AH262" s="169">
        <f t="shared" si="65"/>
        <v>0</v>
      </c>
      <c r="AI262" s="169"/>
      <c r="AJ262" s="169">
        <f t="shared" si="66"/>
        <v>0</v>
      </c>
      <c r="AK262" s="169">
        <f t="shared" si="67"/>
        <v>0</v>
      </c>
      <c r="AL262" s="169"/>
      <c r="AM262" s="169">
        <f>AK261*W261+AK262*W262</f>
        <v>0</v>
      </c>
      <c r="AN262" s="169">
        <f>(SUM(AD261:AG261)*W261+SUM(AD262:AG262)*W262)*12*VLOOKUP(C262,JNovergang,3,1)</f>
        <v>0</v>
      </c>
      <c r="AO262" s="169">
        <f>AM262-AN262</f>
        <v>0</v>
      </c>
      <c r="AP262" s="169">
        <f>M262*(100+X262)%</f>
        <v>0</v>
      </c>
      <c r="AQ262" s="274">
        <f>ROUND(M262*F262,2)</f>
        <v>0</v>
      </c>
      <c r="AS262" s="274">
        <f>ROUND((AP262+AQ262)+AM262*(N262/12),0)</f>
        <v>0</v>
      </c>
      <c r="AT262" s="274">
        <f>ROUND(AM262*(O262/12),0)</f>
        <v>0</v>
      </c>
      <c r="AU262" s="274">
        <f>ROUND(AM262*(P262/12)*U262,0)</f>
        <v>0</v>
      </c>
      <c r="AW262" s="144">
        <f t="shared" si="68"/>
        <v>0</v>
      </c>
    </row>
    <row r="263" spans="1:49" x14ac:dyDescent="0.15">
      <c r="A263" s="173"/>
      <c r="B263" s="174"/>
      <c r="C263" s="174"/>
      <c r="D263" s="165" t="str">
        <f t="shared" si="70"/>
        <v xml:space="preserve"> </v>
      </c>
      <c r="E263" s="177"/>
      <c r="F263" s="287">
        <v>0</v>
      </c>
      <c r="G263" s="177">
        <v>37</v>
      </c>
      <c r="H263" s="177">
        <v>37</v>
      </c>
      <c r="I263" s="177"/>
      <c r="J263" s="179"/>
      <c r="K263" s="177"/>
      <c r="L263" s="179"/>
      <c r="M263" s="166"/>
      <c r="N263" s="166"/>
      <c r="O263" s="166"/>
      <c r="P263" s="166"/>
      <c r="Q263" s="167"/>
      <c r="R263" s="167"/>
      <c r="S263" s="168"/>
      <c r="V263" s="144">
        <f t="shared" si="60"/>
        <v>0</v>
      </c>
      <c r="W263" s="144">
        <f t="shared" si="61"/>
        <v>0</v>
      </c>
      <c r="X263" s="144">
        <f t="shared" si="69"/>
        <v>0</v>
      </c>
      <c r="Y263" s="144">
        <f t="shared" si="62"/>
        <v>34.464599999999997</v>
      </c>
      <c r="Z263" s="169">
        <f t="shared" si="54"/>
        <v>0</v>
      </c>
      <c r="AA263" s="274">
        <f t="shared" si="55"/>
        <v>0</v>
      </c>
      <c r="AB263" s="169">
        <f t="shared" si="63"/>
        <v>0</v>
      </c>
      <c r="AC263" s="274">
        <f t="shared" si="56"/>
        <v>0</v>
      </c>
      <c r="AD263" s="169">
        <f t="shared" si="57"/>
        <v>0</v>
      </c>
      <c r="AE263" s="274">
        <f t="shared" si="58"/>
        <v>0</v>
      </c>
      <c r="AF263" s="169">
        <f t="shared" si="64"/>
        <v>0</v>
      </c>
      <c r="AG263" s="274">
        <f t="shared" si="59"/>
        <v>0</v>
      </c>
      <c r="AH263" s="169">
        <f t="shared" si="65"/>
        <v>0</v>
      </c>
      <c r="AI263" s="169"/>
      <c r="AJ263" s="169">
        <f t="shared" si="66"/>
        <v>0</v>
      </c>
      <c r="AK263" s="169">
        <f t="shared" si="67"/>
        <v>0</v>
      </c>
      <c r="AL263" s="169"/>
      <c r="AM263" s="169"/>
      <c r="AN263" s="169"/>
      <c r="AQ263" s="169"/>
      <c r="AW263" s="144">
        <f t="shared" si="68"/>
        <v>0</v>
      </c>
    </row>
    <row r="264" spans="1:49" ht="9.75" thickBot="1" x14ac:dyDescent="0.2">
      <c r="A264" s="175"/>
      <c r="B264" s="176"/>
      <c r="C264" s="176"/>
      <c r="D264" s="170" t="str">
        <f>VLOOKUP(C264,Tabelændringskode,2,1)</f>
        <v xml:space="preserve"> </v>
      </c>
      <c r="E264" s="178"/>
      <c r="F264" s="288">
        <v>0</v>
      </c>
      <c r="G264" s="178">
        <v>37</v>
      </c>
      <c r="H264" s="178">
        <v>37</v>
      </c>
      <c r="I264" s="178"/>
      <c r="J264" s="180"/>
      <c r="K264" s="178"/>
      <c r="L264" s="180"/>
      <c r="M264" s="180"/>
      <c r="N264" s="178"/>
      <c r="O264" s="178"/>
      <c r="P264" s="178"/>
      <c r="Q264" s="171">
        <f>AS264</f>
        <v>0</v>
      </c>
      <c r="R264" s="171">
        <f>AT264</f>
        <v>0</v>
      </c>
      <c r="S264" s="172">
        <f>AU264</f>
        <v>0</v>
      </c>
      <c r="U264" s="144">
        <f>IF(OR(C263=5,C264=5),0,1)</f>
        <v>1</v>
      </c>
      <c r="V264" s="144">
        <f t="shared" si="60"/>
        <v>0</v>
      </c>
      <c r="W264" s="144">
        <f t="shared" si="61"/>
        <v>0</v>
      </c>
      <c r="X264" s="144">
        <f t="shared" si="69"/>
        <v>0</v>
      </c>
      <c r="Y264" s="144">
        <f t="shared" si="62"/>
        <v>34.464599999999997</v>
      </c>
      <c r="Z264" s="169">
        <f t="shared" si="54"/>
        <v>0</v>
      </c>
      <c r="AA264" s="274">
        <f t="shared" si="55"/>
        <v>0</v>
      </c>
      <c r="AB264" s="169">
        <f t="shared" si="63"/>
        <v>0</v>
      </c>
      <c r="AC264" s="274">
        <f t="shared" si="56"/>
        <v>0</v>
      </c>
      <c r="AD264" s="169">
        <f t="shared" si="57"/>
        <v>0</v>
      </c>
      <c r="AE264" s="274">
        <f t="shared" si="58"/>
        <v>0</v>
      </c>
      <c r="AF264" s="169">
        <f t="shared" si="64"/>
        <v>0</v>
      </c>
      <c r="AG264" s="274">
        <f t="shared" si="59"/>
        <v>0</v>
      </c>
      <c r="AH264" s="169">
        <f t="shared" si="65"/>
        <v>0</v>
      </c>
      <c r="AI264" s="169"/>
      <c r="AJ264" s="169">
        <f t="shared" si="66"/>
        <v>0</v>
      </c>
      <c r="AK264" s="169">
        <f t="shared" si="67"/>
        <v>0</v>
      </c>
      <c r="AL264" s="169"/>
      <c r="AM264" s="169">
        <f>AK263*W263+AK264*W264</f>
        <v>0</v>
      </c>
      <c r="AN264" s="169">
        <f>(SUM(AD263:AG263)*W263+SUM(AD264:AG264)*W264)*12*VLOOKUP(C264,JNovergang,3,1)</f>
        <v>0</v>
      </c>
      <c r="AO264" s="169">
        <f>AM264-AN264</f>
        <v>0</v>
      </c>
      <c r="AP264" s="169">
        <f>M264*(100+X264)%</f>
        <v>0</v>
      </c>
      <c r="AQ264" s="274">
        <f>ROUND(M264*F264,2)</f>
        <v>0</v>
      </c>
      <c r="AS264" s="274">
        <f>ROUND((AP264+AQ264)+AM264*(N264/12),0)</f>
        <v>0</v>
      </c>
      <c r="AT264" s="274">
        <f>ROUND(AM264*(O264/12),0)</f>
        <v>0</v>
      </c>
      <c r="AU264" s="274">
        <f>ROUND(AM264*(P264/12)*U264,0)</f>
        <v>0</v>
      </c>
      <c r="AW264" s="144">
        <f t="shared" si="68"/>
        <v>0</v>
      </c>
    </row>
    <row r="265" spans="1:49" x14ac:dyDescent="0.15">
      <c r="A265" s="173"/>
      <c r="B265" s="174"/>
      <c r="C265" s="174"/>
      <c r="D265" s="165" t="str">
        <f t="shared" si="70"/>
        <v xml:space="preserve"> </v>
      </c>
      <c r="E265" s="177"/>
      <c r="F265" s="287">
        <v>0</v>
      </c>
      <c r="G265" s="177">
        <v>37</v>
      </c>
      <c r="H265" s="177">
        <v>37</v>
      </c>
      <c r="I265" s="177"/>
      <c r="J265" s="179"/>
      <c r="K265" s="177"/>
      <c r="L265" s="179"/>
      <c r="M265" s="166"/>
      <c r="N265" s="166"/>
      <c r="O265" s="166"/>
      <c r="P265" s="166"/>
      <c r="Q265" s="167"/>
      <c r="R265" s="167"/>
      <c r="S265" s="168"/>
      <c r="V265" s="144">
        <f t="shared" si="60"/>
        <v>0</v>
      </c>
      <c r="W265" s="144">
        <f t="shared" si="61"/>
        <v>0</v>
      </c>
      <c r="X265" s="144">
        <f t="shared" si="69"/>
        <v>0</v>
      </c>
      <c r="Y265" s="144">
        <f t="shared" si="62"/>
        <v>34.464599999999997</v>
      </c>
      <c r="Z265" s="169">
        <f t="shared" si="54"/>
        <v>0</v>
      </c>
      <c r="AA265" s="274">
        <f t="shared" si="55"/>
        <v>0</v>
      </c>
      <c r="AB265" s="169">
        <f t="shared" si="63"/>
        <v>0</v>
      </c>
      <c r="AC265" s="274">
        <f t="shared" si="56"/>
        <v>0</v>
      </c>
      <c r="AD265" s="169">
        <f t="shared" si="57"/>
        <v>0</v>
      </c>
      <c r="AE265" s="274">
        <f t="shared" si="58"/>
        <v>0</v>
      </c>
      <c r="AF265" s="169">
        <f t="shared" si="64"/>
        <v>0</v>
      </c>
      <c r="AG265" s="274">
        <f t="shared" si="59"/>
        <v>0</v>
      </c>
      <c r="AH265" s="169">
        <f t="shared" si="65"/>
        <v>0</v>
      </c>
      <c r="AI265" s="169"/>
      <c r="AJ265" s="169">
        <f t="shared" si="66"/>
        <v>0</v>
      </c>
      <c r="AK265" s="169">
        <f t="shared" si="67"/>
        <v>0</v>
      </c>
      <c r="AL265" s="169"/>
      <c r="AM265" s="169"/>
      <c r="AN265" s="169"/>
      <c r="AQ265" s="169"/>
      <c r="AW265" s="144">
        <f t="shared" si="68"/>
        <v>0</v>
      </c>
    </row>
    <row r="266" spans="1:49" ht="9.75" thickBot="1" x14ac:dyDescent="0.2">
      <c r="A266" s="175"/>
      <c r="B266" s="176"/>
      <c r="C266" s="176"/>
      <c r="D266" s="170" t="str">
        <f>VLOOKUP(C266,Tabelændringskode,2,1)</f>
        <v xml:space="preserve"> </v>
      </c>
      <c r="E266" s="178"/>
      <c r="F266" s="288">
        <v>0</v>
      </c>
      <c r="G266" s="178">
        <v>37</v>
      </c>
      <c r="H266" s="178">
        <v>37</v>
      </c>
      <c r="I266" s="178"/>
      <c r="J266" s="180"/>
      <c r="K266" s="178"/>
      <c r="L266" s="180"/>
      <c r="M266" s="180"/>
      <c r="N266" s="178"/>
      <c r="O266" s="178"/>
      <c r="P266" s="178"/>
      <c r="Q266" s="171">
        <f>AS266</f>
        <v>0</v>
      </c>
      <c r="R266" s="171">
        <f>AT266</f>
        <v>0</v>
      </c>
      <c r="S266" s="172">
        <f>AU266</f>
        <v>0</v>
      </c>
      <c r="U266" s="144">
        <f>IF(OR(C265=5,C266=5),0,1)</f>
        <v>1</v>
      </c>
      <c r="V266" s="144">
        <f t="shared" si="60"/>
        <v>0</v>
      </c>
      <c r="W266" s="144">
        <f t="shared" si="61"/>
        <v>0</v>
      </c>
      <c r="X266" s="144">
        <f t="shared" si="69"/>
        <v>0</v>
      </c>
      <c r="Y266" s="144">
        <f t="shared" si="62"/>
        <v>34.464599999999997</v>
      </c>
      <c r="Z266" s="169">
        <f t="shared" si="54"/>
        <v>0</v>
      </c>
      <c r="AA266" s="274">
        <f t="shared" si="55"/>
        <v>0</v>
      </c>
      <c r="AB266" s="169">
        <f t="shared" si="63"/>
        <v>0</v>
      </c>
      <c r="AC266" s="274">
        <f t="shared" si="56"/>
        <v>0</v>
      </c>
      <c r="AD266" s="169">
        <f t="shared" si="57"/>
        <v>0</v>
      </c>
      <c r="AE266" s="274">
        <f t="shared" si="58"/>
        <v>0</v>
      </c>
      <c r="AF266" s="169">
        <f t="shared" si="64"/>
        <v>0</v>
      </c>
      <c r="AG266" s="274">
        <f t="shared" si="59"/>
        <v>0</v>
      </c>
      <c r="AH266" s="169">
        <f t="shared" si="65"/>
        <v>0</v>
      </c>
      <c r="AI266" s="169"/>
      <c r="AJ266" s="169">
        <f t="shared" si="66"/>
        <v>0</v>
      </c>
      <c r="AK266" s="169">
        <f t="shared" si="67"/>
        <v>0</v>
      </c>
      <c r="AL266" s="169"/>
      <c r="AM266" s="169">
        <f>AK265*W265+AK266*W266</f>
        <v>0</v>
      </c>
      <c r="AN266" s="169">
        <f>(SUM(AD265:AG265)*W265+SUM(AD266:AG266)*W266)*12*VLOOKUP(C266,JNovergang,3,1)</f>
        <v>0</v>
      </c>
      <c r="AO266" s="169">
        <f>AM266-AN266</f>
        <v>0</v>
      </c>
      <c r="AP266" s="169">
        <f>M266*(100+X266)%</f>
        <v>0</v>
      </c>
      <c r="AQ266" s="274">
        <f>ROUND(M266*F266,2)</f>
        <v>0</v>
      </c>
      <c r="AS266" s="274">
        <f>ROUND((AP266+AQ266)+AM266*(N266/12),0)</f>
        <v>0</v>
      </c>
      <c r="AT266" s="274">
        <f>ROUND(AM266*(O266/12),0)</f>
        <v>0</v>
      </c>
      <c r="AU266" s="274">
        <f>ROUND(AM266*(P266/12)*U266,0)</f>
        <v>0</v>
      </c>
      <c r="AW266" s="144">
        <f t="shared" si="68"/>
        <v>0</v>
      </c>
    </row>
    <row r="267" spans="1:49" x14ac:dyDescent="0.15">
      <c r="A267" s="173"/>
      <c r="B267" s="174"/>
      <c r="C267" s="174"/>
      <c r="D267" s="165" t="str">
        <f t="shared" si="70"/>
        <v xml:space="preserve"> </v>
      </c>
      <c r="E267" s="177"/>
      <c r="F267" s="287">
        <v>0</v>
      </c>
      <c r="G267" s="177">
        <v>37</v>
      </c>
      <c r="H267" s="177">
        <v>37</v>
      </c>
      <c r="I267" s="177"/>
      <c r="J267" s="179"/>
      <c r="K267" s="177"/>
      <c r="L267" s="179"/>
      <c r="M267" s="166"/>
      <c r="N267" s="166"/>
      <c r="O267" s="166"/>
      <c r="P267" s="166"/>
      <c r="Q267" s="167"/>
      <c r="R267" s="167"/>
      <c r="S267" s="168"/>
      <c r="V267" s="144">
        <f t="shared" si="60"/>
        <v>0</v>
      </c>
      <c r="W267" s="144">
        <f t="shared" si="61"/>
        <v>0</v>
      </c>
      <c r="X267" s="144">
        <f t="shared" si="69"/>
        <v>0</v>
      </c>
      <c r="Y267" s="144">
        <f t="shared" si="62"/>
        <v>34.464599999999997</v>
      </c>
      <c r="Z267" s="169">
        <f t="shared" si="54"/>
        <v>0</v>
      </c>
      <c r="AA267" s="274">
        <f t="shared" si="55"/>
        <v>0</v>
      </c>
      <c r="AB267" s="169">
        <f t="shared" si="63"/>
        <v>0</v>
      </c>
      <c r="AC267" s="274">
        <f t="shared" si="56"/>
        <v>0</v>
      </c>
      <c r="AD267" s="169">
        <f t="shared" si="57"/>
        <v>0</v>
      </c>
      <c r="AE267" s="274">
        <f t="shared" si="58"/>
        <v>0</v>
      </c>
      <c r="AF267" s="169">
        <f t="shared" si="64"/>
        <v>0</v>
      </c>
      <c r="AG267" s="274">
        <f t="shared" si="59"/>
        <v>0</v>
      </c>
      <c r="AH267" s="169">
        <f t="shared" si="65"/>
        <v>0</v>
      </c>
      <c r="AI267" s="169"/>
      <c r="AJ267" s="169">
        <f t="shared" si="66"/>
        <v>0</v>
      </c>
      <c r="AK267" s="169">
        <f t="shared" si="67"/>
        <v>0</v>
      </c>
      <c r="AL267" s="169"/>
      <c r="AM267" s="169"/>
      <c r="AN267" s="169"/>
      <c r="AQ267" s="169"/>
      <c r="AW267" s="144">
        <f t="shared" si="68"/>
        <v>0</v>
      </c>
    </row>
    <row r="268" spans="1:49" ht="9.75" thickBot="1" x14ac:dyDescent="0.2">
      <c r="A268" s="175"/>
      <c r="B268" s="176"/>
      <c r="C268" s="176"/>
      <c r="D268" s="170" t="str">
        <f>VLOOKUP(C268,Tabelændringskode,2,1)</f>
        <v xml:space="preserve"> </v>
      </c>
      <c r="E268" s="178"/>
      <c r="F268" s="288">
        <v>0</v>
      </c>
      <c r="G268" s="178">
        <v>37</v>
      </c>
      <c r="H268" s="178">
        <v>37</v>
      </c>
      <c r="I268" s="178"/>
      <c r="J268" s="180"/>
      <c r="K268" s="178"/>
      <c r="L268" s="180"/>
      <c r="M268" s="180"/>
      <c r="N268" s="178"/>
      <c r="O268" s="178"/>
      <c r="P268" s="178"/>
      <c r="Q268" s="171">
        <f>AS268</f>
        <v>0</v>
      </c>
      <c r="R268" s="171">
        <f>AT268</f>
        <v>0</v>
      </c>
      <c r="S268" s="172">
        <f>AU268</f>
        <v>0</v>
      </c>
      <c r="U268" s="144">
        <f>IF(OR(C267=5,C268=5),0,1)</f>
        <v>1</v>
      </c>
      <c r="V268" s="144">
        <f t="shared" si="60"/>
        <v>0</v>
      </c>
      <c r="W268" s="144">
        <f t="shared" si="61"/>
        <v>0</v>
      </c>
      <c r="X268" s="144">
        <f t="shared" si="69"/>
        <v>0</v>
      </c>
      <c r="Y268" s="144">
        <f t="shared" si="62"/>
        <v>34.464599999999997</v>
      </c>
      <c r="Z268" s="169">
        <f t="shared" si="54"/>
        <v>0</v>
      </c>
      <c r="AA268" s="274">
        <f t="shared" si="55"/>
        <v>0</v>
      </c>
      <c r="AB268" s="169">
        <f t="shared" si="63"/>
        <v>0</v>
      </c>
      <c r="AC268" s="274">
        <f t="shared" si="56"/>
        <v>0</v>
      </c>
      <c r="AD268" s="169">
        <f t="shared" si="57"/>
        <v>0</v>
      </c>
      <c r="AE268" s="274">
        <f t="shared" si="58"/>
        <v>0</v>
      </c>
      <c r="AF268" s="169">
        <f t="shared" si="64"/>
        <v>0</v>
      </c>
      <c r="AG268" s="274">
        <f t="shared" si="59"/>
        <v>0</v>
      </c>
      <c r="AH268" s="169">
        <f t="shared" si="65"/>
        <v>0</v>
      </c>
      <c r="AI268" s="169"/>
      <c r="AJ268" s="169">
        <f t="shared" si="66"/>
        <v>0</v>
      </c>
      <c r="AK268" s="169">
        <f t="shared" si="67"/>
        <v>0</v>
      </c>
      <c r="AL268" s="169"/>
      <c r="AM268" s="169">
        <f>AK267*W267+AK268*W268</f>
        <v>0</v>
      </c>
      <c r="AN268" s="169">
        <f>(SUM(AD267:AG267)*W267+SUM(AD268:AG268)*W268)*12*VLOOKUP(C268,JNovergang,3,1)</f>
        <v>0</v>
      </c>
      <c r="AO268" s="169">
        <f>AM268-AN268</f>
        <v>0</v>
      </c>
      <c r="AP268" s="169">
        <f>M268*(100+X268)%</f>
        <v>0</v>
      </c>
      <c r="AQ268" s="274">
        <f>ROUND(M268*F268,2)</f>
        <v>0</v>
      </c>
      <c r="AS268" s="274">
        <f>ROUND((AP268+AQ268)+AM268*(N268/12),0)</f>
        <v>0</v>
      </c>
      <c r="AT268" s="274">
        <f>ROUND(AM268*(O268/12),0)</f>
        <v>0</v>
      </c>
      <c r="AU268" s="274">
        <f>ROUND(AM268*(P268/12)*U268,0)</f>
        <v>0</v>
      </c>
      <c r="AW268" s="144">
        <f t="shared" si="68"/>
        <v>0</v>
      </c>
    </row>
    <row r="269" spans="1:49" x14ac:dyDescent="0.15">
      <c r="A269" s="173"/>
      <c r="B269" s="174"/>
      <c r="C269" s="174"/>
      <c r="D269" s="165" t="str">
        <f t="shared" si="70"/>
        <v xml:space="preserve"> </v>
      </c>
      <c r="E269" s="177"/>
      <c r="F269" s="287">
        <v>0</v>
      </c>
      <c r="G269" s="177">
        <v>37</v>
      </c>
      <c r="H269" s="177">
        <v>37</v>
      </c>
      <c r="I269" s="177"/>
      <c r="J269" s="179"/>
      <c r="K269" s="177"/>
      <c r="L269" s="179"/>
      <c r="M269" s="166"/>
      <c r="N269" s="166"/>
      <c r="O269" s="166"/>
      <c r="P269" s="166"/>
      <c r="Q269" s="167"/>
      <c r="R269" s="167"/>
      <c r="S269" s="168"/>
      <c r="V269" s="144">
        <f t="shared" si="60"/>
        <v>0</v>
      </c>
      <c r="W269" s="144">
        <f t="shared" si="61"/>
        <v>0</v>
      </c>
      <c r="X269" s="144">
        <f t="shared" si="69"/>
        <v>0</v>
      </c>
      <c r="Y269" s="144">
        <f t="shared" si="62"/>
        <v>34.464599999999997</v>
      </c>
      <c r="Z269" s="169">
        <f t="shared" si="54"/>
        <v>0</v>
      </c>
      <c r="AA269" s="274">
        <f t="shared" si="55"/>
        <v>0</v>
      </c>
      <c r="AB269" s="169">
        <f t="shared" si="63"/>
        <v>0</v>
      </c>
      <c r="AC269" s="274">
        <f t="shared" si="56"/>
        <v>0</v>
      </c>
      <c r="AD269" s="169">
        <f t="shared" si="57"/>
        <v>0</v>
      </c>
      <c r="AE269" s="274">
        <f t="shared" si="58"/>
        <v>0</v>
      </c>
      <c r="AF269" s="169">
        <f t="shared" si="64"/>
        <v>0</v>
      </c>
      <c r="AG269" s="274">
        <f t="shared" si="59"/>
        <v>0</v>
      </c>
      <c r="AH269" s="169">
        <f t="shared" si="65"/>
        <v>0</v>
      </c>
      <c r="AI269" s="169"/>
      <c r="AJ269" s="169">
        <f t="shared" si="66"/>
        <v>0</v>
      </c>
      <c r="AK269" s="169">
        <f t="shared" si="67"/>
        <v>0</v>
      </c>
      <c r="AL269" s="169"/>
      <c r="AM269" s="169"/>
      <c r="AN269" s="169"/>
      <c r="AQ269" s="169"/>
      <c r="AW269" s="144">
        <f t="shared" si="68"/>
        <v>0</v>
      </c>
    </row>
    <row r="270" spans="1:49" ht="9.75" thickBot="1" x14ac:dyDescent="0.2">
      <c r="A270" s="175"/>
      <c r="B270" s="176"/>
      <c r="C270" s="176"/>
      <c r="D270" s="170" t="str">
        <f>VLOOKUP(C270,Tabelændringskode,2,1)</f>
        <v xml:space="preserve"> </v>
      </c>
      <c r="E270" s="178"/>
      <c r="F270" s="288">
        <v>0</v>
      </c>
      <c r="G270" s="178">
        <v>37</v>
      </c>
      <c r="H270" s="178">
        <v>37</v>
      </c>
      <c r="I270" s="178"/>
      <c r="J270" s="180"/>
      <c r="K270" s="178"/>
      <c r="L270" s="180"/>
      <c r="M270" s="180"/>
      <c r="N270" s="178"/>
      <c r="O270" s="178"/>
      <c r="P270" s="178"/>
      <c r="Q270" s="171">
        <f>AS270</f>
        <v>0</v>
      </c>
      <c r="R270" s="171">
        <f>AT270</f>
        <v>0</v>
      </c>
      <c r="S270" s="172">
        <f>AU270</f>
        <v>0</v>
      </c>
      <c r="U270" s="144">
        <f>IF(OR(C269=5,C270=5),0,1)</f>
        <v>1</v>
      </c>
      <c r="V270" s="144">
        <f t="shared" si="60"/>
        <v>0</v>
      </c>
      <c r="W270" s="144">
        <f t="shared" si="61"/>
        <v>0</v>
      </c>
      <c r="X270" s="144">
        <f t="shared" si="69"/>
        <v>0</v>
      </c>
      <c r="Y270" s="144">
        <f t="shared" si="62"/>
        <v>34.464599999999997</v>
      </c>
      <c r="Z270" s="169">
        <f t="shared" si="54"/>
        <v>0</v>
      </c>
      <c r="AA270" s="274">
        <f t="shared" si="55"/>
        <v>0</v>
      </c>
      <c r="AB270" s="169">
        <f t="shared" si="63"/>
        <v>0</v>
      </c>
      <c r="AC270" s="274">
        <f t="shared" si="56"/>
        <v>0</v>
      </c>
      <c r="AD270" s="169">
        <f t="shared" si="57"/>
        <v>0</v>
      </c>
      <c r="AE270" s="274">
        <f t="shared" si="58"/>
        <v>0</v>
      </c>
      <c r="AF270" s="169">
        <f t="shared" si="64"/>
        <v>0</v>
      </c>
      <c r="AG270" s="274">
        <f t="shared" si="59"/>
        <v>0</v>
      </c>
      <c r="AH270" s="169">
        <f t="shared" si="65"/>
        <v>0</v>
      </c>
      <c r="AI270" s="169"/>
      <c r="AJ270" s="169">
        <f t="shared" si="66"/>
        <v>0</v>
      </c>
      <c r="AK270" s="169">
        <f t="shared" si="67"/>
        <v>0</v>
      </c>
      <c r="AL270" s="169"/>
      <c r="AM270" s="169">
        <f>AK269*W269+AK270*W270</f>
        <v>0</v>
      </c>
      <c r="AN270" s="169">
        <f>(SUM(AD269:AG269)*W269+SUM(AD270:AG270)*W270)*12*VLOOKUP(C270,JNovergang,3,1)</f>
        <v>0</v>
      </c>
      <c r="AO270" s="169">
        <f>AM270-AN270</f>
        <v>0</v>
      </c>
      <c r="AP270" s="169">
        <f>M270*(100+X270)%</f>
        <v>0</v>
      </c>
      <c r="AQ270" s="274">
        <f>ROUND(M270*F270,2)</f>
        <v>0</v>
      </c>
      <c r="AS270" s="274">
        <f>ROUND((AP270+AQ270)+AM270*(N270/12),0)</f>
        <v>0</v>
      </c>
      <c r="AT270" s="274">
        <f>ROUND(AM270*(O270/12),0)</f>
        <v>0</v>
      </c>
      <c r="AU270" s="274">
        <f>ROUND(AM270*(P270/12)*U270,0)</f>
        <v>0</v>
      </c>
      <c r="AW270" s="144">
        <f t="shared" si="68"/>
        <v>0</v>
      </c>
    </row>
    <row r="271" spans="1:49" x14ac:dyDescent="0.15">
      <c r="A271" s="173"/>
      <c r="B271" s="174"/>
      <c r="C271" s="174"/>
      <c r="D271" s="165" t="str">
        <f t="shared" si="70"/>
        <v xml:space="preserve"> </v>
      </c>
      <c r="E271" s="177"/>
      <c r="F271" s="287">
        <v>0</v>
      </c>
      <c r="G271" s="177">
        <v>37</v>
      </c>
      <c r="H271" s="177">
        <v>37</v>
      </c>
      <c r="I271" s="177"/>
      <c r="J271" s="179"/>
      <c r="K271" s="177"/>
      <c r="L271" s="179"/>
      <c r="M271" s="166"/>
      <c r="N271" s="166"/>
      <c r="O271" s="166"/>
      <c r="P271" s="166"/>
      <c r="Q271" s="167"/>
      <c r="R271" s="167"/>
      <c r="S271" s="168"/>
      <c r="V271" s="144">
        <f t="shared" si="60"/>
        <v>0</v>
      </c>
      <c r="W271" s="144">
        <f t="shared" si="61"/>
        <v>0</v>
      </c>
      <c r="X271" s="144">
        <f t="shared" si="69"/>
        <v>0</v>
      </c>
      <c r="Y271" s="144">
        <f t="shared" si="62"/>
        <v>34.464599999999997</v>
      </c>
      <c r="Z271" s="169">
        <f t="shared" si="54"/>
        <v>0</v>
      </c>
      <c r="AA271" s="274">
        <f t="shared" si="55"/>
        <v>0</v>
      </c>
      <c r="AB271" s="169">
        <f t="shared" si="63"/>
        <v>0</v>
      </c>
      <c r="AC271" s="274">
        <f t="shared" si="56"/>
        <v>0</v>
      </c>
      <c r="AD271" s="169">
        <f t="shared" si="57"/>
        <v>0</v>
      </c>
      <c r="AE271" s="274">
        <f t="shared" si="58"/>
        <v>0</v>
      </c>
      <c r="AF271" s="169">
        <f t="shared" si="64"/>
        <v>0</v>
      </c>
      <c r="AG271" s="274">
        <f t="shared" si="59"/>
        <v>0</v>
      </c>
      <c r="AH271" s="169">
        <f t="shared" si="65"/>
        <v>0</v>
      </c>
      <c r="AI271" s="169"/>
      <c r="AJ271" s="169">
        <f t="shared" si="66"/>
        <v>0</v>
      </c>
      <c r="AK271" s="169">
        <f t="shared" si="67"/>
        <v>0</v>
      </c>
      <c r="AL271" s="169"/>
      <c r="AM271" s="169"/>
      <c r="AN271" s="169"/>
      <c r="AQ271" s="169"/>
      <c r="AW271" s="144">
        <f t="shared" si="68"/>
        <v>0</v>
      </c>
    </row>
    <row r="272" spans="1:49" ht="9.75" thickBot="1" x14ac:dyDescent="0.2">
      <c r="A272" s="175"/>
      <c r="B272" s="176"/>
      <c r="C272" s="176"/>
      <c r="D272" s="170" t="str">
        <f>VLOOKUP(C272,Tabelændringskode,2,1)</f>
        <v xml:space="preserve"> </v>
      </c>
      <c r="E272" s="178"/>
      <c r="F272" s="288">
        <v>0</v>
      </c>
      <c r="G272" s="178">
        <v>37</v>
      </c>
      <c r="H272" s="178">
        <v>37</v>
      </c>
      <c r="I272" s="178"/>
      <c r="J272" s="180"/>
      <c r="K272" s="178"/>
      <c r="L272" s="180"/>
      <c r="M272" s="180"/>
      <c r="N272" s="178"/>
      <c r="O272" s="178"/>
      <c r="P272" s="178"/>
      <c r="Q272" s="171">
        <f>AS272</f>
        <v>0</v>
      </c>
      <c r="R272" s="171">
        <f>AT272</f>
        <v>0</v>
      </c>
      <c r="S272" s="172">
        <f>AU272</f>
        <v>0</v>
      </c>
      <c r="U272" s="144">
        <f>IF(OR(C271=5,C272=5),0,1)</f>
        <v>1</v>
      </c>
      <c r="V272" s="144">
        <f t="shared" si="60"/>
        <v>0</v>
      </c>
      <c r="W272" s="144">
        <f t="shared" si="61"/>
        <v>0</v>
      </c>
      <c r="X272" s="144">
        <f t="shared" si="69"/>
        <v>0</v>
      </c>
      <c r="Y272" s="144">
        <f t="shared" si="62"/>
        <v>34.464599999999997</v>
      </c>
      <c r="Z272" s="169">
        <f t="shared" si="54"/>
        <v>0</v>
      </c>
      <c r="AA272" s="274">
        <f t="shared" si="55"/>
        <v>0</v>
      </c>
      <c r="AB272" s="169">
        <f t="shared" si="63"/>
        <v>0</v>
      </c>
      <c r="AC272" s="274">
        <f t="shared" si="56"/>
        <v>0</v>
      </c>
      <c r="AD272" s="169">
        <f t="shared" si="57"/>
        <v>0</v>
      </c>
      <c r="AE272" s="274">
        <f t="shared" si="58"/>
        <v>0</v>
      </c>
      <c r="AF272" s="169">
        <f t="shared" si="64"/>
        <v>0</v>
      </c>
      <c r="AG272" s="274">
        <f t="shared" si="59"/>
        <v>0</v>
      </c>
      <c r="AH272" s="169">
        <f t="shared" si="65"/>
        <v>0</v>
      </c>
      <c r="AI272" s="169"/>
      <c r="AJ272" s="169">
        <f t="shared" si="66"/>
        <v>0</v>
      </c>
      <c r="AK272" s="169">
        <f t="shared" si="67"/>
        <v>0</v>
      </c>
      <c r="AL272" s="169"/>
      <c r="AM272" s="169">
        <f>AK271*W271+AK272*W272</f>
        <v>0</v>
      </c>
      <c r="AN272" s="169">
        <f>(SUM(AD271:AG271)*W271+SUM(AD272:AG272)*W272)*12*VLOOKUP(C272,JNovergang,3,1)</f>
        <v>0</v>
      </c>
      <c r="AO272" s="169">
        <f>AM272-AN272</f>
        <v>0</v>
      </c>
      <c r="AP272" s="169">
        <f>M272*(100+X272)%</f>
        <v>0</v>
      </c>
      <c r="AQ272" s="274">
        <f>ROUND(M272*F272,2)</f>
        <v>0</v>
      </c>
      <c r="AS272" s="274">
        <f>ROUND((AP272+AQ272)+AM272*(N272/12),0)</f>
        <v>0</v>
      </c>
      <c r="AT272" s="274">
        <f>ROUND(AM272*(O272/12),0)</f>
        <v>0</v>
      </c>
      <c r="AU272" s="274">
        <f>ROUND(AM272*(P272/12)*U272,0)</f>
        <v>0</v>
      </c>
      <c r="AW272" s="144">
        <f t="shared" si="68"/>
        <v>0</v>
      </c>
    </row>
    <row r="273" spans="1:49" x14ac:dyDescent="0.15">
      <c r="A273" s="173"/>
      <c r="B273" s="174"/>
      <c r="C273" s="174"/>
      <c r="D273" s="165" t="str">
        <f t="shared" si="70"/>
        <v xml:space="preserve"> </v>
      </c>
      <c r="E273" s="177"/>
      <c r="F273" s="287">
        <v>0</v>
      </c>
      <c r="G273" s="177">
        <v>37</v>
      </c>
      <c r="H273" s="177">
        <v>37</v>
      </c>
      <c r="I273" s="177"/>
      <c r="J273" s="179"/>
      <c r="K273" s="177"/>
      <c r="L273" s="179"/>
      <c r="M273" s="166"/>
      <c r="N273" s="166"/>
      <c r="O273" s="166"/>
      <c r="P273" s="166"/>
      <c r="Q273" s="167"/>
      <c r="R273" s="167"/>
      <c r="S273" s="168"/>
      <c r="V273" s="144">
        <f t="shared" si="60"/>
        <v>0</v>
      </c>
      <c r="W273" s="144">
        <f t="shared" si="61"/>
        <v>0</v>
      </c>
      <c r="X273" s="144">
        <f t="shared" si="69"/>
        <v>0</v>
      </c>
      <c r="Y273" s="144">
        <f t="shared" si="62"/>
        <v>34.464599999999997</v>
      </c>
      <c r="Z273" s="169">
        <f t="shared" si="54"/>
        <v>0</v>
      </c>
      <c r="AA273" s="274">
        <f t="shared" si="55"/>
        <v>0</v>
      </c>
      <c r="AB273" s="169">
        <f t="shared" si="63"/>
        <v>0</v>
      </c>
      <c r="AC273" s="274">
        <f t="shared" si="56"/>
        <v>0</v>
      </c>
      <c r="AD273" s="169">
        <f t="shared" si="57"/>
        <v>0</v>
      </c>
      <c r="AE273" s="274">
        <f t="shared" si="58"/>
        <v>0</v>
      </c>
      <c r="AF273" s="169">
        <f t="shared" si="64"/>
        <v>0</v>
      </c>
      <c r="AG273" s="274">
        <f t="shared" si="59"/>
        <v>0</v>
      </c>
      <c r="AH273" s="169">
        <f t="shared" si="65"/>
        <v>0</v>
      </c>
      <c r="AI273" s="169"/>
      <c r="AJ273" s="169">
        <f t="shared" si="66"/>
        <v>0</v>
      </c>
      <c r="AK273" s="169">
        <f t="shared" si="67"/>
        <v>0</v>
      </c>
      <c r="AL273" s="169"/>
      <c r="AM273" s="169"/>
      <c r="AN273" s="169"/>
      <c r="AQ273" s="169"/>
      <c r="AW273" s="144">
        <f t="shared" si="68"/>
        <v>0</v>
      </c>
    </row>
    <row r="274" spans="1:49" ht="9.75" thickBot="1" x14ac:dyDescent="0.2">
      <c r="A274" s="175"/>
      <c r="B274" s="176"/>
      <c r="C274" s="176"/>
      <c r="D274" s="170" t="str">
        <f>VLOOKUP(C274,Tabelændringskode,2,1)</f>
        <v xml:space="preserve"> </v>
      </c>
      <c r="E274" s="178"/>
      <c r="F274" s="288">
        <v>0</v>
      </c>
      <c r="G274" s="178">
        <v>37</v>
      </c>
      <c r="H274" s="178">
        <v>37</v>
      </c>
      <c r="I274" s="178"/>
      <c r="J274" s="180"/>
      <c r="K274" s="178"/>
      <c r="L274" s="180"/>
      <c r="M274" s="180"/>
      <c r="N274" s="178"/>
      <c r="O274" s="178"/>
      <c r="P274" s="178"/>
      <c r="Q274" s="171">
        <f>AS274</f>
        <v>0</v>
      </c>
      <c r="R274" s="171">
        <f>AT274</f>
        <v>0</v>
      </c>
      <c r="S274" s="172">
        <f>AU274</f>
        <v>0</v>
      </c>
      <c r="U274" s="144">
        <f>IF(OR(C273=5,C274=5),0,1)</f>
        <v>1</v>
      </c>
      <c r="V274" s="144">
        <f t="shared" si="60"/>
        <v>0</v>
      </c>
      <c r="W274" s="144">
        <f t="shared" si="61"/>
        <v>0</v>
      </c>
      <c r="X274" s="144">
        <f t="shared" si="69"/>
        <v>0</v>
      </c>
      <c r="Y274" s="144">
        <f t="shared" si="62"/>
        <v>34.464599999999997</v>
      </c>
      <c r="Z274" s="169">
        <f t="shared" si="54"/>
        <v>0</v>
      </c>
      <c r="AA274" s="274">
        <f t="shared" si="55"/>
        <v>0</v>
      </c>
      <c r="AB274" s="169">
        <f t="shared" si="63"/>
        <v>0</v>
      </c>
      <c r="AC274" s="274">
        <f t="shared" si="56"/>
        <v>0</v>
      </c>
      <c r="AD274" s="169">
        <f t="shared" si="57"/>
        <v>0</v>
      </c>
      <c r="AE274" s="274">
        <f t="shared" si="58"/>
        <v>0</v>
      </c>
      <c r="AF274" s="169">
        <f t="shared" si="64"/>
        <v>0</v>
      </c>
      <c r="AG274" s="274">
        <f t="shared" si="59"/>
        <v>0</v>
      </c>
      <c r="AH274" s="169">
        <f t="shared" si="65"/>
        <v>0</v>
      </c>
      <c r="AI274" s="169"/>
      <c r="AJ274" s="169">
        <f t="shared" si="66"/>
        <v>0</v>
      </c>
      <c r="AK274" s="169">
        <f t="shared" si="67"/>
        <v>0</v>
      </c>
      <c r="AL274" s="169"/>
      <c r="AM274" s="169">
        <f>AK273*W273+AK274*W274</f>
        <v>0</v>
      </c>
      <c r="AN274" s="169">
        <f>(SUM(AD273:AG273)*W273+SUM(AD274:AG274)*W274)*12*VLOOKUP(C274,JNovergang,3,1)</f>
        <v>0</v>
      </c>
      <c r="AO274" s="169">
        <f>AM274-AN274</f>
        <v>0</v>
      </c>
      <c r="AP274" s="169">
        <f>M274*(100+X274)%</f>
        <v>0</v>
      </c>
      <c r="AQ274" s="274">
        <f>ROUND(M274*F274,2)</f>
        <v>0</v>
      </c>
      <c r="AS274" s="274">
        <f>ROUND((AP274+AQ274)+AM274*(N274/12),0)</f>
        <v>0</v>
      </c>
      <c r="AT274" s="274">
        <f>ROUND(AM274*(O274/12),0)</f>
        <v>0</v>
      </c>
      <c r="AU274" s="274">
        <f>ROUND(AM274*(P274/12)*U274,0)</f>
        <v>0</v>
      </c>
      <c r="AW274" s="144">
        <f t="shared" si="68"/>
        <v>0</v>
      </c>
    </row>
    <row r="275" spans="1:49" x14ac:dyDescent="0.15">
      <c r="A275" s="173"/>
      <c r="B275" s="174"/>
      <c r="C275" s="174"/>
      <c r="D275" s="165" t="str">
        <f t="shared" si="70"/>
        <v xml:space="preserve"> </v>
      </c>
      <c r="E275" s="177"/>
      <c r="F275" s="287">
        <v>0</v>
      </c>
      <c r="G275" s="177">
        <v>37</v>
      </c>
      <c r="H275" s="177">
        <v>37</v>
      </c>
      <c r="I275" s="177"/>
      <c r="J275" s="179"/>
      <c r="K275" s="177"/>
      <c r="L275" s="179"/>
      <c r="M275" s="166"/>
      <c r="N275" s="166"/>
      <c r="O275" s="166"/>
      <c r="P275" s="166"/>
      <c r="Q275" s="167"/>
      <c r="R275" s="167"/>
      <c r="S275" s="168"/>
      <c r="V275" s="144">
        <f t="shared" si="60"/>
        <v>0</v>
      </c>
      <c r="W275" s="144">
        <f t="shared" si="61"/>
        <v>0</v>
      </c>
      <c r="X275" s="144">
        <f t="shared" si="69"/>
        <v>0</v>
      </c>
      <c r="Y275" s="144">
        <f t="shared" si="62"/>
        <v>34.464599999999997</v>
      </c>
      <c r="Z275" s="169">
        <f t="shared" si="54"/>
        <v>0</v>
      </c>
      <c r="AA275" s="274">
        <f t="shared" si="55"/>
        <v>0</v>
      </c>
      <c r="AB275" s="169">
        <f t="shared" si="63"/>
        <v>0</v>
      </c>
      <c r="AC275" s="274">
        <f t="shared" si="56"/>
        <v>0</v>
      </c>
      <c r="AD275" s="169">
        <f t="shared" si="57"/>
        <v>0</v>
      </c>
      <c r="AE275" s="274">
        <f t="shared" si="58"/>
        <v>0</v>
      </c>
      <c r="AF275" s="169">
        <f t="shared" si="64"/>
        <v>0</v>
      </c>
      <c r="AG275" s="274">
        <f t="shared" si="59"/>
        <v>0</v>
      </c>
      <c r="AH275" s="169">
        <f t="shared" si="65"/>
        <v>0</v>
      </c>
      <c r="AI275" s="169"/>
      <c r="AJ275" s="169">
        <f t="shared" si="66"/>
        <v>0</v>
      </c>
      <c r="AK275" s="169">
        <f t="shared" si="67"/>
        <v>0</v>
      </c>
      <c r="AL275" s="169"/>
      <c r="AM275" s="169"/>
      <c r="AN275" s="169"/>
      <c r="AQ275" s="169"/>
      <c r="AW275" s="144">
        <f t="shared" si="68"/>
        <v>0</v>
      </c>
    </row>
    <row r="276" spans="1:49" ht="9.75" thickBot="1" x14ac:dyDescent="0.2">
      <c r="A276" s="175"/>
      <c r="B276" s="176"/>
      <c r="C276" s="176"/>
      <c r="D276" s="170" t="str">
        <f>VLOOKUP(C276,Tabelændringskode,2,1)</f>
        <v xml:space="preserve"> </v>
      </c>
      <c r="E276" s="178"/>
      <c r="F276" s="288">
        <v>0</v>
      </c>
      <c r="G276" s="178">
        <v>37</v>
      </c>
      <c r="H276" s="178">
        <v>37</v>
      </c>
      <c r="I276" s="178"/>
      <c r="J276" s="180"/>
      <c r="K276" s="178"/>
      <c r="L276" s="180"/>
      <c r="M276" s="180"/>
      <c r="N276" s="178"/>
      <c r="O276" s="178"/>
      <c r="P276" s="178"/>
      <c r="Q276" s="171">
        <f>AS276</f>
        <v>0</v>
      </c>
      <c r="R276" s="171">
        <f>AT276</f>
        <v>0</v>
      </c>
      <c r="S276" s="172">
        <f>AU276</f>
        <v>0</v>
      </c>
      <c r="U276" s="144">
        <f>IF(OR(C275=5,C276=5),0,1)</f>
        <v>1</v>
      </c>
      <c r="V276" s="144">
        <f t="shared" si="60"/>
        <v>0</v>
      </c>
      <c r="W276" s="144">
        <f t="shared" si="61"/>
        <v>0</v>
      </c>
      <c r="X276" s="144">
        <f t="shared" si="69"/>
        <v>0</v>
      </c>
      <c r="Y276" s="144">
        <f t="shared" si="62"/>
        <v>34.464599999999997</v>
      </c>
      <c r="Z276" s="169">
        <f t="shared" si="54"/>
        <v>0</v>
      </c>
      <c r="AA276" s="274">
        <f t="shared" si="55"/>
        <v>0</v>
      </c>
      <c r="AB276" s="169">
        <f t="shared" si="63"/>
        <v>0</v>
      </c>
      <c r="AC276" s="274">
        <f t="shared" si="56"/>
        <v>0</v>
      </c>
      <c r="AD276" s="169">
        <f t="shared" si="57"/>
        <v>0</v>
      </c>
      <c r="AE276" s="274">
        <f t="shared" si="58"/>
        <v>0</v>
      </c>
      <c r="AF276" s="169">
        <f t="shared" si="64"/>
        <v>0</v>
      </c>
      <c r="AG276" s="274">
        <f t="shared" si="59"/>
        <v>0</v>
      </c>
      <c r="AH276" s="169">
        <f t="shared" si="65"/>
        <v>0</v>
      </c>
      <c r="AI276" s="169"/>
      <c r="AJ276" s="169">
        <f t="shared" si="66"/>
        <v>0</v>
      </c>
      <c r="AK276" s="169">
        <f t="shared" si="67"/>
        <v>0</v>
      </c>
      <c r="AL276" s="169"/>
      <c r="AM276" s="169">
        <f>AK275*W275+AK276*W276</f>
        <v>0</v>
      </c>
      <c r="AN276" s="169">
        <f>(SUM(AD275:AG275)*W275+SUM(AD276:AG276)*W276)*12*VLOOKUP(C276,JNovergang,3,1)</f>
        <v>0</v>
      </c>
      <c r="AO276" s="169">
        <f>AM276-AN276</f>
        <v>0</v>
      </c>
      <c r="AP276" s="169">
        <f>M276*(100+X276)%</f>
        <v>0</v>
      </c>
      <c r="AQ276" s="274">
        <f>ROUND(M276*F276,2)</f>
        <v>0</v>
      </c>
      <c r="AS276" s="274">
        <f>ROUND((AP276+AQ276)+AM276*(N276/12),0)</f>
        <v>0</v>
      </c>
      <c r="AT276" s="274">
        <f>ROUND(AM276*(O276/12),0)</f>
        <v>0</v>
      </c>
      <c r="AU276" s="274">
        <f>ROUND(AM276*(P276/12)*U276,0)</f>
        <v>0</v>
      </c>
      <c r="AW276" s="144">
        <f t="shared" si="68"/>
        <v>0</v>
      </c>
    </row>
    <row r="277" spans="1:49" x14ac:dyDescent="0.15">
      <c r="A277" s="173"/>
      <c r="B277" s="174"/>
      <c r="C277" s="174"/>
      <c r="D277" s="165" t="str">
        <f t="shared" si="70"/>
        <v xml:space="preserve"> </v>
      </c>
      <c r="E277" s="177"/>
      <c r="F277" s="287">
        <v>0</v>
      </c>
      <c r="G277" s="177">
        <v>37</v>
      </c>
      <c r="H277" s="177">
        <v>37</v>
      </c>
      <c r="I277" s="177"/>
      <c r="J277" s="179"/>
      <c r="K277" s="177"/>
      <c r="L277" s="179"/>
      <c r="M277" s="166"/>
      <c r="N277" s="166"/>
      <c r="O277" s="166"/>
      <c r="P277" s="166"/>
      <c r="Q277" s="167"/>
      <c r="R277" s="167"/>
      <c r="S277" s="168"/>
      <c r="V277" s="144">
        <f t="shared" si="60"/>
        <v>0</v>
      </c>
      <c r="W277" s="144">
        <f t="shared" si="61"/>
        <v>0</v>
      </c>
      <c r="X277" s="144">
        <f t="shared" si="69"/>
        <v>0</v>
      </c>
      <c r="Y277" s="144">
        <f t="shared" si="62"/>
        <v>34.464599999999997</v>
      </c>
      <c r="Z277" s="169">
        <f t="shared" ref="Z277:Z308" si="71">ROUND(VLOOKUP(I277,TabelLønninger,VLOOKUP(E277,TabelLøntabel,2,1),1)*G277/H277,2)</f>
        <v>0</v>
      </c>
      <c r="AA277" s="274">
        <f t="shared" ref="AA277:AA308" si="72">ROUND(VLOOKUP(I277,TabelLønninger,VLOOKUP(E277,TabelPensgivLøn,2))*F277/12*G277/H277,2)</f>
        <v>0</v>
      </c>
      <c r="AB277" s="169">
        <f t="shared" si="63"/>
        <v>0</v>
      </c>
      <c r="AC277" s="274">
        <f t="shared" ref="AC277:AC308" si="73">ROUND(AB277*F277,2)</f>
        <v>0</v>
      </c>
      <c r="AD277" s="169">
        <f t="shared" ref="AD277:AD308" si="74">ROUND(VLOOKUP(I277+K277,TabelLønninger,VLOOKUP(E277,TabelLøntabel,2,1),1)*G277/H277,2)-Z277</f>
        <v>0</v>
      </c>
      <c r="AE277" s="274">
        <f t="shared" ref="AE277:AE308" si="75">ROUND(VLOOKUP(I277+K277,TabelLønninger,VLOOKUP(E277,TabelPensgivLøn,2))*F277/12*G277/H277,2)-AA277</f>
        <v>0</v>
      </c>
      <c r="AF277" s="169">
        <f t="shared" si="64"/>
        <v>0</v>
      </c>
      <c r="AG277" s="274">
        <f t="shared" ref="AG277:AG308" si="76">ROUND(AF277*F277,2)</f>
        <v>0</v>
      </c>
      <c r="AH277" s="169">
        <f t="shared" si="65"/>
        <v>0</v>
      </c>
      <c r="AI277" s="169"/>
      <c r="AJ277" s="169">
        <f t="shared" si="66"/>
        <v>0</v>
      </c>
      <c r="AK277" s="169">
        <f t="shared" si="67"/>
        <v>0</v>
      </c>
      <c r="AL277" s="169"/>
      <c r="AM277" s="169"/>
      <c r="AN277" s="169"/>
      <c r="AQ277" s="169"/>
      <c r="AW277" s="144">
        <f t="shared" si="68"/>
        <v>0</v>
      </c>
    </row>
    <row r="278" spans="1:49" ht="9.75" thickBot="1" x14ac:dyDescent="0.2">
      <c r="A278" s="175"/>
      <c r="B278" s="176"/>
      <c r="C278" s="176"/>
      <c r="D278" s="170" t="str">
        <f>VLOOKUP(C278,Tabelændringskode,2,1)</f>
        <v xml:space="preserve"> </v>
      </c>
      <c r="E278" s="178"/>
      <c r="F278" s="288">
        <v>0</v>
      </c>
      <c r="G278" s="178">
        <v>37</v>
      </c>
      <c r="H278" s="178">
        <v>37</v>
      </c>
      <c r="I278" s="178"/>
      <c r="J278" s="180"/>
      <c r="K278" s="178"/>
      <c r="L278" s="180"/>
      <c r="M278" s="180"/>
      <c r="N278" s="178"/>
      <c r="O278" s="178"/>
      <c r="P278" s="178"/>
      <c r="Q278" s="171">
        <f>AS278</f>
        <v>0</v>
      </c>
      <c r="R278" s="171">
        <f>AT278</f>
        <v>0</v>
      </c>
      <c r="S278" s="172">
        <f>AU278</f>
        <v>0</v>
      </c>
      <c r="U278" s="144">
        <f>IF(OR(C277=5,C278=5),0,1)</f>
        <v>1</v>
      </c>
      <c r="V278" s="144">
        <f t="shared" ref="V278:V308" si="77">VLOOKUP(C278,TabelRammeforbrug,3,1)</f>
        <v>0</v>
      </c>
      <c r="W278" s="144">
        <f t="shared" ref="W278:W308" si="78">VLOOKUP(C278,FraTil,3,1)</f>
        <v>0</v>
      </c>
      <c r="X278" s="144">
        <f t="shared" si="69"/>
        <v>0</v>
      </c>
      <c r="Y278" s="144">
        <f t="shared" ref="Y278:Y308" si="79">VLOOKUP(E278,TabelPctReg,2)</f>
        <v>34.464599999999997</v>
      </c>
      <c r="Z278" s="169">
        <f t="shared" si="71"/>
        <v>0</v>
      </c>
      <c r="AA278" s="274">
        <f t="shared" si="72"/>
        <v>0</v>
      </c>
      <c r="AB278" s="169">
        <f t="shared" ref="AB278:AB308" si="80">ROUND(J278/12*(1+Y278%),2)*G278/H278</f>
        <v>0</v>
      </c>
      <c r="AC278" s="274">
        <f t="shared" si="73"/>
        <v>0</v>
      </c>
      <c r="AD278" s="169">
        <f t="shared" si="74"/>
        <v>0</v>
      </c>
      <c r="AE278" s="274">
        <f t="shared" si="75"/>
        <v>0</v>
      </c>
      <c r="AF278" s="169">
        <f t="shared" ref="AF278:AF308" si="81">ROUND(L278/12*(1+Y278%),2)*G278/H278</f>
        <v>0</v>
      </c>
      <c r="AG278" s="274">
        <f t="shared" si="76"/>
        <v>0</v>
      </c>
      <c r="AH278" s="169">
        <f t="shared" ref="AH278:AH308" si="82">ROUND((Z278+AB278+AD278+AF278)*X278%,2)</f>
        <v>0</v>
      </c>
      <c r="AI278" s="169"/>
      <c r="AJ278" s="169">
        <f t="shared" ref="AJ278:AJ308" si="83">SUM(Z278:AH278)</f>
        <v>0</v>
      </c>
      <c r="AK278" s="169">
        <f t="shared" ref="AK278:AK308" si="84">AJ278*12</f>
        <v>0</v>
      </c>
      <c r="AL278" s="169"/>
      <c r="AM278" s="169">
        <f>AK277*W277+AK278*W278</f>
        <v>0</v>
      </c>
      <c r="AN278" s="169">
        <f>(SUM(AD277:AG277)*W277+SUM(AD278:AG278)*W278)*12*VLOOKUP(C278,JNovergang,3,1)</f>
        <v>0</v>
      </c>
      <c r="AO278" s="169">
        <f>AM278-AN278</f>
        <v>0</v>
      </c>
      <c r="AP278" s="169">
        <f>M278*(100+X278)%</f>
        <v>0</v>
      </c>
      <c r="AQ278" s="274">
        <f>ROUND(M278*F278,2)</f>
        <v>0</v>
      </c>
      <c r="AS278" s="274">
        <f>ROUND((AP278+AQ278)+AM278*(N278/12),0)</f>
        <v>0</v>
      </c>
      <c r="AT278" s="274">
        <f>ROUND(AM278*(O278/12),0)</f>
        <v>0</v>
      </c>
      <c r="AU278" s="274">
        <f>ROUND(AM278*(P278/12)*U278,0)</f>
        <v>0</v>
      </c>
      <c r="AW278" s="144">
        <f t="shared" ref="AW278:AW308" si="85">IF(ISNUMBER(C278),ROW(),0)</f>
        <v>0</v>
      </c>
    </row>
    <row r="279" spans="1:49" x14ac:dyDescent="0.15">
      <c r="A279" s="173"/>
      <c r="B279" s="174"/>
      <c r="C279" s="174"/>
      <c r="D279" s="165" t="str">
        <f t="shared" si="70"/>
        <v xml:space="preserve"> </v>
      </c>
      <c r="E279" s="177"/>
      <c r="F279" s="287">
        <v>0</v>
      </c>
      <c r="G279" s="177">
        <v>37</v>
      </c>
      <c r="H279" s="177">
        <v>37</v>
      </c>
      <c r="I279" s="177"/>
      <c r="J279" s="179"/>
      <c r="K279" s="177"/>
      <c r="L279" s="179"/>
      <c r="M279" s="166"/>
      <c r="N279" s="166"/>
      <c r="O279" s="166"/>
      <c r="P279" s="166"/>
      <c r="Q279" s="167"/>
      <c r="R279" s="167"/>
      <c r="S279" s="168"/>
      <c r="V279" s="144">
        <f t="shared" si="77"/>
        <v>0</v>
      </c>
      <c r="W279" s="144">
        <f t="shared" si="78"/>
        <v>0</v>
      </c>
      <c r="X279" s="144">
        <f t="shared" si="69"/>
        <v>0</v>
      </c>
      <c r="Y279" s="144">
        <f t="shared" si="79"/>
        <v>34.464599999999997</v>
      </c>
      <c r="Z279" s="169">
        <f t="shared" si="71"/>
        <v>0</v>
      </c>
      <c r="AA279" s="274">
        <f t="shared" si="72"/>
        <v>0</v>
      </c>
      <c r="AB279" s="169">
        <f t="shared" si="80"/>
        <v>0</v>
      </c>
      <c r="AC279" s="274">
        <f t="shared" si="73"/>
        <v>0</v>
      </c>
      <c r="AD279" s="169">
        <f t="shared" si="74"/>
        <v>0</v>
      </c>
      <c r="AE279" s="274">
        <f t="shared" si="75"/>
        <v>0</v>
      </c>
      <c r="AF279" s="169">
        <f t="shared" si="81"/>
        <v>0</v>
      </c>
      <c r="AG279" s="274">
        <f t="shared" si="76"/>
        <v>0</v>
      </c>
      <c r="AH279" s="169">
        <f t="shared" si="82"/>
        <v>0</v>
      </c>
      <c r="AI279" s="169"/>
      <c r="AJ279" s="169">
        <f t="shared" si="83"/>
        <v>0</v>
      </c>
      <c r="AK279" s="169">
        <f t="shared" si="84"/>
        <v>0</v>
      </c>
      <c r="AL279" s="169"/>
      <c r="AM279" s="169"/>
      <c r="AN279" s="169"/>
      <c r="AQ279" s="169"/>
      <c r="AW279" s="144">
        <f t="shared" si="85"/>
        <v>0</v>
      </c>
    </row>
    <row r="280" spans="1:49" ht="9.75" thickBot="1" x14ac:dyDescent="0.2">
      <c r="A280" s="175"/>
      <c r="B280" s="176"/>
      <c r="C280" s="176"/>
      <c r="D280" s="170" t="str">
        <f>VLOOKUP(C280,Tabelændringskode,2,1)</f>
        <v xml:space="preserve"> </v>
      </c>
      <c r="E280" s="178"/>
      <c r="F280" s="288">
        <v>0</v>
      </c>
      <c r="G280" s="178">
        <v>37</v>
      </c>
      <c r="H280" s="178">
        <v>37</v>
      </c>
      <c r="I280" s="178"/>
      <c r="J280" s="180"/>
      <c r="K280" s="178"/>
      <c r="L280" s="180"/>
      <c r="M280" s="180"/>
      <c r="N280" s="178"/>
      <c r="O280" s="178"/>
      <c r="P280" s="178"/>
      <c r="Q280" s="171">
        <f>AS280</f>
        <v>0</v>
      </c>
      <c r="R280" s="171">
        <f>AT280</f>
        <v>0</v>
      </c>
      <c r="S280" s="172">
        <f>AU280</f>
        <v>0</v>
      </c>
      <c r="U280" s="144">
        <f>IF(OR(C279=5,C280=5),0,1)</f>
        <v>1</v>
      </c>
      <c r="V280" s="144">
        <f t="shared" si="77"/>
        <v>0</v>
      </c>
      <c r="W280" s="144">
        <f t="shared" si="78"/>
        <v>0</v>
      </c>
      <c r="X280" s="144">
        <f t="shared" si="69"/>
        <v>0</v>
      </c>
      <c r="Y280" s="144">
        <f t="shared" si="79"/>
        <v>34.464599999999997</v>
      </c>
      <c r="Z280" s="169">
        <f t="shared" si="71"/>
        <v>0</v>
      </c>
      <c r="AA280" s="274">
        <f t="shared" si="72"/>
        <v>0</v>
      </c>
      <c r="AB280" s="169">
        <f t="shared" si="80"/>
        <v>0</v>
      </c>
      <c r="AC280" s="274">
        <f t="shared" si="73"/>
        <v>0</v>
      </c>
      <c r="AD280" s="169">
        <f t="shared" si="74"/>
        <v>0</v>
      </c>
      <c r="AE280" s="274">
        <f t="shared" si="75"/>
        <v>0</v>
      </c>
      <c r="AF280" s="169">
        <f t="shared" si="81"/>
        <v>0</v>
      </c>
      <c r="AG280" s="274">
        <f t="shared" si="76"/>
        <v>0</v>
      </c>
      <c r="AH280" s="169">
        <f t="shared" si="82"/>
        <v>0</v>
      </c>
      <c r="AI280" s="169"/>
      <c r="AJ280" s="169">
        <f t="shared" si="83"/>
        <v>0</v>
      </c>
      <c r="AK280" s="169">
        <f t="shared" si="84"/>
        <v>0</v>
      </c>
      <c r="AL280" s="169"/>
      <c r="AM280" s="169">
        <f>AK279*W279+AK280*W280</f>
        <v>0</v>
      </c>
      <c r="AN280" s="169">
        <f>(SUM(AD279:AG279)*W279+SUM(AD280:AG280)*W280)*12*VLOOKUP(C280,JNovergang,3,1)</f>
        <v>0</v>
      </c>
      <c r="AO280" s="169">
        <f>AM280-AN280</f>
        <v>0</v>
      </c>
      <c r="AP280" s="169">
        <f>M280*(100+X280)%</f>
        <v>0</v>
      </c>
      <c r="AQ280" s="274">
        <f>ROUND(M280*F280,2)</f>
        <v>0</v>
      </c>
      <c r="AS280" s="274">
        <f>ROUND((AP280+AQ280)+AM280*(N280/12),0)</f>
        <v>0</v>
      </c>
      <c r="AT280" s="274">
        <f>ROUND(AM280*(O280/12),0)</f>
        <v>0</v>
      </c>
      <c r="AU280" s="274">
        <f>ROUND(AM280*(P280/12)*U280,0)</f>
        <v>0</v>
      </c>
      <c r="AW280" s="144">
        <f t="shared" si="85"/>
        <v>0</v>
      </c>
    </row>
    <row r="281" spans="1:49" x14ac:dyDescent="0.15">
      <c r="A281" s="173"/>
      <c r="B281" s="174"/>
      <c r="C281" s="174"/>
      <c r="D281" s="165" t="str">
        <f t="shared" si="70"/>
        <v xml:space="preserve"> </v>
      </c>
      <c r="E281" s="177"/>
      <c r="F281" s="287">
        <v>0</v>
      </c>
      <c r="G281" s="177">
        <v>37</v>
      </c>
      <c r="H281" s="177">
        <v>37</v>
      </c>
      <c r="I281" s="177"/>
      <c r="J281" s="179"/>
      <c r="K281" s="177"/>
      <c r="L281" s="179"/>
      <c r="M281" s="166"/>
      <c r="N281" s="166"/>
      <c r="O281" s="166"/>
      <c r="P281" s="166"/>
      <c r="Q281" s="167"/>
      <c r="R281" s="167"/>
      <c r="S281" s="168"/>
      <c r="V281" s="144">
        <f t="shared" si="77"/>
        <v>0</v>
      </c>
      <c r="W281" s="144">
        <f t="shared" si="78"/>
        <v>0</v>
      </c>
      <c r="X281" s="144">
        <f t="shared" si="69"/>
        <v>0</v>
      </c>
      <c r="Y281" s="144">
        <f t="shared" si="79"/>
        <v>34.464599999999997</v>
      </c>
      <c r="Z281" s="169">
        <f t="shared" si="71"/>
        <v>0</v>
      </c>
      <c r="AA281" s="274">
        <f t="shared" si="72"/>
        <v>0</v>
      </c>
      <c r="AB281" s="169">
        <f t="shared" si="80"/>
        <v>0</v>
      </c>
      <c r="AC281" s="274">
        <f t="shared" si="73"/>
        <v>0</v>
      </c>
      <c r="AD281" s="169">
        <f t="shared" si="74"/>
        <v>0</v>
      </c>
      <c r="AE281" s="274">
        <f t="shared" si="75"/>
        <v>0</v>
      </c>
      <c r="AF281" s="169">
        <f t="shared" si="81"/>
        <v>0</v>
      </c>
      <c r="AG281" s="274">
        <f t="shared" si="76"/>
        <v>0</v>
      </c>
      <c r="AH281" s="169">
        <f t="shared" si="82"/>
        <v>0</v>
      </c>
      <c r="AI281" s="169"/>
      <c r="AJ281" s="169">
        <f t="shared" si="83"/>
        <v>0</v>
      </c>
      <c r="AK281" s="169">
        <f t="shared" si="84"/>
        <v>0</v>
      </c>
      <c r="AL281" s="169"/>
      <c r="AM281" s="169"/>
      <c r="AN281" s="169"/>
      <c r="AQ281" s="169"/>
      <c r="AW281" s="144">
        <f t="shared" si="85"/>
        <v>0</v>
      </c>
    </row>
    <row r="282" spans="1:49" ht="9.75" thickBot="1" x14ac:dyDescent="0.2">
      <c r="A282" s="175"/>
      <c r="B282" s="176"/>
      <c r="C282" s="176"/>
      <c r="D282" s="170" t="str">
        <f>VLOOKUP(C282,Tabelændringskode,2,1)</f>
        <v xml:space="preserve"> </v>
      </c>
      <c r="E282" s="178"/>
      <c r="F282" s="288">
        <v>0</v>
      </c>
      <c r="G282" s="178">
        <v>37</v>
      </c>
      <c r="H282" s="178">
        <v>37</v>
      </c>
      <c r="I282" s="178"/>
      <c r="J282" s="180"/>
      <c r="K282" s="178"/>
      <c r="L282" s="180"/>
      <c r="M282" s="180"/>
      <c r="N282" s="178"/>
      <c r="O282" s="178"/>
      <c r="P282" s="178"/>
      <c r="Q282" s="171">
        <f>AS282</f>
        <v>0</v>
      </c>
      <c r="R282" s="171">
        <f>AT282</f>
        <v>0</v>
      </c>
      <c r="S282" s="172">
        <f>AU282</f>
        <v>0</v>
      </c>
      <c r="U282" s="144">
        <f>IF(OR(C281=5,C282=5),0,1)</f>
        <v>1</v>
      </c>
      <c r="V282" s="144">
        <f t="shared" si="77"/>
        <v>0</v>
      </c>
      <c r="W282" s="144">
        <f t="shared" si="78"/>
        <v>0</v>
      </c>
      <c r="X282" s="144">
        <f t="shared" si="69"/>
        <v>0</v>
      </c>
      <c r="Y282" s="144">
        <f t="shared" si="79"/>
        <v>34.464599999999997</v>
      </c>
      <c r="Z282" s="169">
        <f t="shared" si="71"/>
        <v>0</v>
      </c>
      <c r="AA282" s="274">
        <f t="shared" si="72"/>
        <v>0</v>
      </c>
      <c r="AB282" s="169">
        <f t="shared" si="80"/>
        <v>0</v>
      </c>
      <c r="AC282" s="274">
        <f t="shared" si="73"/>
        <v>0</v>
      </c>
      <c r="AD282" s="169">
        <f t="shared" si="74"/>
        <v>0</v>
      </c>
      <c r="AE282" s="274">
        <f t="shared" si="75"/>
        <v>0</v>
      </c>
      <c r="AF282" s="169">
        <f t="shared" si="81"/>
        <v>0</v>
      </c>
      <c r="AG282" s="274">
        <f t="shared" si="76"/>
        <v>0</v>
      </c>
      <c r="AH282" s="169">
        <f t="shared" si="82"/>
        <v>0</v>
      </c>
      <c r="AI282" s="169"/>
      <c r="AJ282" s="169">
        <f t="shared" si="83"/>
        <v>0</v>
      </c>
      <c r="AK282" s="169">
        <f t="shared" si="84"/>
        <v>0</v>
      </c>
      <c r="AL282" s="169"/>
      <c r="AM282" s="169">
        <f>AK281*W281+AK282*W282</f>
        <v>0</v>
      </c>
      <c r="AN282" s="169">
        <f>(SUM(AD281:AG281)*W281+SUM(AD282:AG282)*W282)*12*VLOOKUP(C282,JNovergang,3,1)</f>
        <v>0</v>
      </c>
      <c r="AO282" s="169">
        <f>AM282-AN282</f>
        <v>0</v>
      </c>
      <c r="AP282" s="169">
        <f>M282*(100+X282)%</f>
        <v>0</v>
      </c>
      <c r="AQ282" s="274">
        <f>ROUND(M282*F282,2)</f>
        <v>0</v>
      </c>
      <c r="AS282" s="274">
        <f>ROUND((AP282+AQ282)+AM282*(N282/12),0)</f>
        <v>0</v>
      </c>
      <c r="AT282" s="274">
        <f>ROUND(AM282*(O282/12),0)</f>
        <v>0</v>
      </c>
      <c r="AU282" s="274">
        <f>ROUND(AM282*(P282/12)*U282,0)</f>
        <v>0</v>
      </c>
      <c r="AW282" s="144">
        <f t="shared" si="85"/>
        <v>0</v>
      </c>
    </row>
    <row r="283" spans="1:49" x14ac:dyDescent="0.15">
      <c r="A283" s="173"/>
      <c r="B283" s="174"/>
      <c r="C283" s="174"/>
      <c r="D283" s="165" t="str">
        <f t="shared" ref="D283:D308" si="86">VLOOKUP(C283,Tabelændringskode,2,1)</f>
        <v xml:space="preserve"> </v>
      </c>
      <c r="E283" s="177"/>
      <c r="F283" s="287">
        <v>0</v>
      </c>
      <c r="G283" s="177">
        <v>37</v>
      </c>
      <c r="H283" s="177">
        <v>37</v>
      </c>
      <c r="I283" s="177"/>
      <c r="J283" s="179"/>
      <c r="K283" s="177"/>
      <c r="L283" s="179"/>
      <c r="M283" s="166"/>
      <c r="N283" s="166"/>
      <c r="O283" s="166"/>
      <c r="P283" s="166"/>
      <c r="Q283" s="167"/>
      <c r="R283" s="167"/>
      <c r="S283" s="168"/>
      <c r="V283" s="144">
        <f t="shared" si="77"/>
        <v>0</v>
      </c>
      <c r="W283" s="144">
        <f t="shared" si="78"/>
        <v>0</v>
      </c>
      <c r="X283" s="144">
        <f t="shared" si="69"/>
        <v>0</v>
      </c>
      <c r="Y283" s="144">
        <f t="shared" si="79"/>
        <v>34.464599999999997</v>
      </c>
      <c r="Z283" s="169">
        <f t="shared" si="71"/>
        <v>0</v>
      </c>
      <c r="AA283" s="274">
        <f t="shared" si="72"/>
        <v>0</v>
      </c>
      <c r="AB283" s="169">
        <f t="shared" si="80"/>
        <v>0</v>
      </c>
      <c r="AC283" s="274">
        <f t="shared" si="73"/>
        <v>0</v>
      </c>
      <c r="AD283" s="169">
        <f t="shared" si="74"/>
        <v>0</v>
      </c>
      <c r="AE283" s="274">
        <f t="shared" si="75"/>
        <v>0</v>
      </c>
      <c r="AF283" s="169">
        <f t="shared" si="81"/>
        <v>0</v>
      </c>
      <c r="AG283" s="274">
        <f t="shared" si="76"/>
        <v>0</v>
      </c>
      <c r="AH283" s="169">
        <f t="shared" si="82"/>
        <v>0</v>
      </c>
      <c r="AI283" s="169"/>
      <c r="AJ283" s="169">
        <f t="shared" si="83"/>
        <v>0</v>
      </c>
      <c r="AK283" s="169">
        <f t="shared" si="84"/>
        <v>0</v>
      </c>
      <c r="AL283" s="169"/>
      <c r="AM283" s="169"/>
      <c r="AN283" s="169"/>
      <c r="AQ283" s="169"/>
      <c r="AW283" s="144">
        <f t="shared" si="85"/>
        <v>0</v>
      </c>
    </row>
    <row r="284" spans="1:49" ht="9.75" thickBot="1" x14ac:dyDescent="0.2">
      <c r="A284" s="175"/>
      <c r="B284" s="176"/>
      <c r="C284" s="176"/>
      <c r="D284" s="170" t="str">
        <f t="shared" si="86"/>
        <v xml:space="preserve"> </v>
      </c>
      <c r="E284" s="178"/>
      <c r="F284" s="288">
        <v>0</v>
      </c>
      <c r="G284" s="178">
        <v>37</v>
      </c>
      <c r="H284" s="178">
        <v>37</v>
      </c>
      <c r="I284" s="178"/>
      <c r="J284" s="180"/>
      <c r="K284" s="178"/>
      <c r="L284" s="180"/>
      <c r="M284" s="180"/>
      <c r="N284" s="178"/>
      <c r="O284" s="178"/>
      <c r="P284" s="178"/>
      <c r="Q284" s="171">
        <f>AS284</f>
        <v>0</v>
      </c>
      <c r="R284" s="171">
        <f>AT284</f>
        <v>0</v>
      </c>
      <c r="S284" s="172">
        <f>AU284</f>
        <v>0</v>
      </c>
      <c r="U284" s="144">
        <f>IF(OR(C283=5,C284=5),0,1)</f>
        <v>1</v>
      </c>
      <c r="V284" s="144">
        <f t="shared" si="77"/>
        <v>0</v>
      </c>
      <c r="W284" s="144">
        <f t="shared" si="78"/>
        <v>0</v>
      </c>
      <c r="X284" s="144">
        <f t="shared" si="69"/>
        <v>0</v>
      </c>
      <c r="Y284" s="144">
        <f t="shared" si="79"/>
        <v>34.464599999999997</v>
      </c>
      <c r="Z284" s="169">
        <f t="shared" si="71"/>
        <v>0</v>
      </c>
      <c r="AA284" s="274">
        <f t="shared" si="72"/>
        <v>0</v>
      </c>
      <c r="AB284" s="169">
        <f t="shared" si="80"/>
        <v>0</v>
      </c>
      <c r="AC284" s="274">
        <f t="shared" si="73"/>
        <v>0</v>
      </c>
      <c r="AD284" s="169">
        <f t="shared" si="74"/>
        <v>0</v>
      </c>
      <c r="AE284" s="274">
        <f t="shared" si="75"/>
        <v>0</v>
      </c>
      <c r="AF284" s="169">
        <f t="shared" si="81"/>
        <v>0</v>
      </c>
      <c r="AG284" s="274">
        <f t="shared" si="76"/>
        <v>0</v>
      </c>
      <c r="AH284" s="169">
        <f t="shared" si="82"/>
        <v>0</v>
      </c>
      <c r="AI284" s="169"/>
      <c r="AJ284" s="169">
        <f t="shared" si="83"/>
        <v>0</v>
      </c>
      <c r="AK284" s="169">
        <f t="shared" si="84"/>
        <v>0</v>
      </c>
      <c r="AL284" s="169"/>
      <c r="AM284" s="169">
        <f>AK283*W283+AK284*W284</f>
        <v>0</v>
      </c>
      <c r="AN284" s="169">
        <f>(SUM(AD283:AG283)*W283+SUM(AD284:AG284)*W284)*12*VLOOKUP(C284,JNovergang,3,1)</f>
        <v>0</v>
      </c>
      <c r="AO284" s="169">
        <f>AM284-AN284</f>
        <v>0</v>
      </c>
      <c r="AP284" s="169">
        <f>M284*(100+X284)%</f>
        <v>0</v>
      </c>
      <c r="AQ284" s="274">
        <f>ROUND(M284*F284,2)</f>
        <v>0</v>
      </c>
      <c r="AS284" s="274">
        <f>ROUND((AP284+AQ284)+AM284*(N284/12),0)</f>
        <v>0</v>
      </c>
      <c r="AT284" s="274">
        <f>ROUND(AM284*(O284/12),0)</f>
        <v>0</v>
      </c>
      <c r="AU284" s="274">
        <f>ROUND(AM284*(P284/12)*U284,0)</f>
        <v>0</v>
      </c>
      <c r="AW284" s="144">
        <f t="shared" si="85"/>
        <v>0</v>
      </c>
    </row>
    <row r="285" spans="1:49" x14ac:dyDescent="0.15">
      <c r="A285" s="173"/>
      <c r="B285" s="174"/>
      <c r="C285" s="174"/>
      <c r="D285" s="165" t="str">
        <f t="shared" si="86"/>
        <v xml:space="preserve"> </v>
      </c>
      <c r="E285" s="177"/>
      <c r="F285" s="287">
        <v>0</v>
      </c>
      <c r="G285" s="177">
        <v>37</v>
      </c>
      <c r="H285" s="177">
        <v>37</v>
      </c>
      <c r="I285" s="177"/>
      <c r="J285" s="179"/>
      <c r="K285" s="177"/>
      <c r="L285" s="179"/>
      <c r="M285" s="166"/>
      <c r="N285" s="166"/>
      <c r="O285" s="166"/>
      <c r="P285" s="166"/>
      <c r="Q285" s="167"/>
      <c r="R285" s="167"/>
      <c r="S285" s="168"/>
      <c r="V285" s="144">
        <f t="shared" si="77"/>
        <v>0</v>
      </c>
      <c r="W285" s="144">
        <f t="shared" si="78"/>
        <v>0</v>
      </c>
      <c r="X285" s="144">
        <f t="shared" si="69"/>
        <v>0</v>
      </c>
      <c r="Y285" s="144">
        <f t="shared" si="79"/>
        <v>34.464599999999997</v>
      </c>
      <c r="Z285" s="169">
        <f t="shared" si="71"/>
        <v>0</v>
      </c>
      <c r="AA285" s="274">
        <f t="shared" si="72"/>
        <v>0</v>
      </c>
      <c r="AB285" s="169">
        <f t="shared" si="80"/>
        <v>0</v>
      </c>
      <c r="AC285" s="274">
        <f t="shared" si="73"/>
        <v>0</v>
      </c>
      <c r="AD285" s="169">
        <f t="shared" si="74"/>
        <v>0</v>
      </c>
      <c r="AE285" s="274">
        <f t="shared" si="75"/>
        <v>0</v>
      </c>
      <c r="AF285" s="169">
        <f t="shared" si="81"/>
        <v>0</v>
      </c>
      <c r="AG285" s="274">
        <f t="shared" si="76"/>
        <v>0</v>
      </c>
      <c r="AH285" s="169">
        <f t="shared" si="82"/>
        <v>0</v>
      </c>
      <c r="AI285" s="169"/>
      <c r="AJ285" s="169">
        <f t="shared" si="83"/>
        <v>0</v>
      </c>
      <c r="AK285" s="169">
        <f t="shared" si="84"/>
        <v>0</v>
      </c>
      <c r="AL285" s="169"/>
      <c r="AM285" s="169"/>
      <c r="AN285" s="169"/>
      <c r="AQ285" s="169"/>
      <c r="AW285" s="144">
        <f t="shared" si="85"/>
        <v>0</v>
      </c>
    </row>
    <row r="286" spans="1:49" ht="9.75" thickBot="1" x14ac:dyDescent="0.2">
      <c r="A286" s="175"/>
      <c r="B286" s="176"/>
      <c r="C286" s="176"/>
      <c r="D286" s="170" t="str">
        <f t="shared" si="86"/>
        <v xml:space="preserve"> </v>
      </c>
      <c r="E286" s="178"/>
      <c r="F286" s="288">
        <v>0</v>
      </c>
      <c r="G286" s="178">
        <v>37</v>
      </c>
      <c r="H286" s="178">
        <v>37</v>
      </c>
      <c r="I286" s="178"/>
      <c r="J286" s="180"/>
      <c r="K286" s="178"/>
      <c r="L286" s="180"/>
      <c r="M286" s="180"/>
      <c r="N286" s="178"/>
      <c r="O286" s="178"/>
      <c r="P286" s="178"/>
      <c r="Q286" s="171">
        <f>AS286</f>
        <v>0</v>
      </c>
      <c r="R286" s="171">
        <f>AT286</f>
        <v>0</v>
      </c>
      <c r="S286" s="172">
        <f>AU286</f>
        <v>0</v>
      </c>
      <c r="U286" s="144">
        <f>IF(OR(C285=5,C286=5),0,1)</f>
        <v>1</v>
      </c>
      <c r="V286" s="144">
        <f t="shared" si="77"/>
        <v>0</v>
      </c>
      <c r="W286" s="144">
        <f t="shared" si="78"/>
        <v>0</v>
      </c>
      <c r="X286" s="144">
        <f t="shared" si="69"/>
        <v>0</v>
      </c>
      <c r="Y286" s="144">
        <f t="shared" si="79"/>
        <v>34.464599999999997</v>
      </c>
      <c r="Z286" s="169">
        <f t="shared" si="71"/>
        <v>0</v>
      </c>
      <c r="AA286" s="274">
        <f t="shared" si="72"/>
        <v>0</v>
      </c>
      <c r="AB286" s="169">
        <f t="shared" si="80"/>
        <v>0</v>
      </c>
      <c r="AC286" s="274">
        <f t="shared" si="73"/>
        <v>0</v>
      </c>
      <c r="AD286" s="169">
        <f t="shared" si="74"/>
        <v>0</v>
      </c>
      <c r="AE286" s="274">
        <f t="shared" si="75"/>
        <v>0</v>
      </c>
      <c r="AF286" s="169">
        <f t="shared" si="81"/>
        <v>0</v>
      </c>
      <c r="AG286" s="274">
        <f t="shared" si="76"/>
        <v>0</v>
      </c>
      <c r="AH286" s="169">
        <f t="shared" si="82"/>
        <v>0</v>
      </c>
      <c r="AI286" s="169"/>
      <c r="AJ286" s="169">
        <f t="shared" si="83"/>
        <v>0</v>
      </c>
      <c r="AK286" s="169">
        <f t="shared" si="84"/>
        <v>0</v>
      </c>
      <c r="AL286" s="169"/>
      <c r="AM286" s="169">
        <f>AK285*W285+AK286*W286</f>
        <v>0</v>
      </c>
      <c r="AN286" s="169">
        <f>(SUM(AD285:AG285)*W285+SUM(AD286:AG286)*W286)*12*VLOOKUP(C286,JNovergang,3,1)</f>
        <v>0</v>
      </c>
      <c r="AO286" s="169">
        <f>AM286-AN286</f>
        <v>0</v>
      </c>
      <c r="AP286" s="169">
        <f>M286*(100+X286)%</f>
        <v>0</v>
      </c>
      <c r="AQ286" s="274">
        <f>ROUND(M286*F286,2)</f>
        <v>0</v>
      </c>
      <c r="AS286" s="274">
        <f>ROUND((AP286+AQ286)+AM286*(N286/12),0)</f>
        <v>0</v>
      </c>
      <c r="AT286" s="274">
        <f>ROUND(AM286*(O286/12),0)</f>
        <v>0</v>
      </c>
      <c r="AU286" s="274">
        <f>ROUND(AM286*(P286/12)*U286,0)</f>
        <v>0</v>
      </c>
      <c r="AW286" s="144">
        <f t="shared" si="85"/>
        <v>0</v>
      </c>
    </row>
    <row r="287" spans="1:49" x14ac:dyDescent="0.15">
      <c r="A287" s="173"/>
      <c r="B287" s="174"/>
      <c r="C287" s="174"/>
      <c r="D287" s="165" t="str">
        <f t="shared" si="86"/>
        <v xml:space="preserve"> </v>
      </c>
      <c r="E287" s="177"/>
      <c r="F287" s="287">
        <v>0</v>
      </c>
      <c r="G287" s="177">
        <v>37</v>
      </c>
      <c r="H287" s="177">
        <v>37</v>
      </c>
      <c r="I287" s="177"/>
      <c r="J287" s="179"/>
      <c r="K287" s="177"/>
      <c r="L287" s="179"/>
      <c r="M287" s="166"/>
      <c r="N287" s="166"/>
      <c r="O287" s="166"/>
      <c r="P287" s="166"/>
      <c r="Q287" s="167"/>
      <c r="R287" s="167"/>
      <c r="S287" s="168"/>
      <c r="V287" s="144">
        <f t="shared" si="77"/>
        <v>0</v>
      </c>
      <c r="W287" s="144">
        <f t="shared" si="78"/>
        <v>0</v>
      </c>
      <c r="X287" s="144">
        <f t="shared" si="69"/>
        <v>0</v>
      </c>
      <c r="Y287" s="144">
        <f t="shared" si="79"/>
        <v>34.464599999999997</v>
      </c>
      <c r="Z287" s="169">
        <f t="shared" si="71"/>
        <v>0</v>
      </c>
      <c r="AA287" s="274">
        <f t="shared" si="72"/>
        <v>0</v>
      </c>
      <c r="AB287" s="169">
        <f t="shared" si="80"/>
        <v>0</v>
      </c>
      <c r="AC287" s="274">
        <f t="shared" si="73"/>
        <v>0</v>
      </c>
      <c r="AD287" s="169">
        <f t="shared" si="74"/>
        <v>0</v>
      </c>
      <c r="AE287" s="274">
        <f t="shared" si="75"/>
        <v>0</v>
      </c>
      <c r="AF287" s="169">
        <f t="shared" si="81"/>
        <v>0</v>
      </c>
      <c r="AG287" s="274">
        <f t="shared" si="76"/>
        <v>0</v>
      </c>
      <c r="AH287" s="169">
        <f t="shared" si="82"/>
        <v>0</v>
      </c>
      <c r="AI287" s="169"/>
      <c r="AJ287" s="169">
        <f t="shared" si="83"/>
        <v>0</v>
      </c>
      <c r="AK287" s="169">
        <f t="shared" si="84"/>
        <v>0</v>
      </c>
      <c r="AL287" s="169"/>
      <c r="AM287" s="169"/>
      <c r="AN287" s="169"/>
      <c r="AQ287" s="169"/>
      <c r="AW287" s="144">
        <f t="shared" si="85"/>
        <v>0</v>
      </c>
    </row>
    <row r="288" spans="1:49" ht="9.75" thickBot="1" x14ac:dyDescent="0.2">
      <c r="A288" s="175"/>
      <c r="B288" s="176"/>
      <c r="C288" s="176"/>
      <c r="D288" s="170" t="str">
        <f t="shared" si="86"/>
        <v xml:space="preserve"> </v>
      </c>
      <c r="E288" s="178"/>
      <c r="F288" s="288">
        <v>0</v>
      </c>
      <c r="G288" s="178">
        <v>37</v>
      </c>
      <c r="H288" s="178">
        <v>37</v>
      </c>
      <c r="I288" s="178"/>
      <c r="J288" s="180"/>
      <c r="K288" s="178"/>
      <c r="L288" s="180"/>
      <c r="M288" s="180"/>
      <c r="N288" s="178"/>
      <c r="O288" s="178"/>
      <c r="P288" s="178"/>
      <c r="Q288" s="171">
        <f>AS288</f>
        <v>0</v>
      </c>
      <c r="R288" s="171">
        <f>AT288</f>
        <v>0</v>
      </c>
      <c r="S288" s="172">
        <f>AU288</f>
        <v>0</v>
      </c>
      <c r="U288" s="144">
        <f>IF(OR(C287=5,C288=5),0,1)</f>
        <v>1</v>
      </c>
      <c r="V288" s="144">
        <f t="shared" si="77"/>
        <v>0</v>
      </c>
      <c r="W288" s="144">
        <f t="shared" si="78"/>
        <v>0</v>
      </c>
      <c r="X288" s="144">
        <f t="shared" si="69"/>
        <v>0</v>
      </c>
      <c r="Y288" s="144">
        <f t="shared" si="79"/>
        <v>34.464599999999997</v>
      </c>
      <c r="Z288" s="169">
        <f t="shared" si="71"/>
        <v>0</v>
      </c>
      <c r="AA288" s="274">
        <f t="shared" si="72"/>
        <v>0</v>
      </c>
      <c r="AB288" s="169">
        <f t="shared" si="80"/>
        <v>0</v>
      </c>
      <c r="AC288" s="274">
        <f t="shared" si="73"/>
        <v>0</v>
      </c>
      <c r="AD288" s="169">
        <f t="shared" si="74"/>
        <v>0</v>
      </c>
      <c r="AE288" s="274">
        <f t="shared" si="75"/>
        <v>0</v>
      </c>
      <c r="AF288" s="169">
        <f t="shared" si="81"/>
        <v>0</v>
      </c>
      <c r="AG288" s="274">
        <f t="shared" si="76"/>
        <v>0</v>
      </c>
      <c r="AH288" s="169">
        <f t="shared" si="82"/>
        <v>0</v>
      </c>
      <c r="AI288" s="169"/>
      <c r="AJ288" s="169">
        <f t="shared" si="83"/>
        <v>0</v>
      </c>
      <c r="AK288" s="169">
        <f t="shared" si="84"/>
        <v>0</v>
      </c>
      <c r="AL288" s="169"/>
      <c r="AM288" s="169">
        <f>AK287*W287+AK288*W288</f>
        <v>0</v>
      </c>
      <c r="AN288" s="169">
        <f>(SUM(AD287:AG287)*W287+SUM(AD288:AG288)*W288)*12*VLOOKUP(C288,JNovergang,3,1)</f>
        <v>0</v>
      </c>
      <c r="AO288" s="169">
        <f>AM288-AN288</f>
        <v>0</v>
      </c>
      <c r="AP288" s="169">
        <f>M288*(100+X288)%</f>
        <v>0</v>
      </c>
      <c r="AQ288" s="274">
        <f>ROUND(M288*F288,2)</f>
        <v>0</v>
      </c>
      <c r="AS288" s="274">
        <f>ROUND((AP288+AQ288)+AM288*(N288/12),0)</f>
        <v>0</v>
      </c>
      <c r="AT288" s="274">
        <f>ROUND(AM288*(O288/12),0)</f>
        <v>0</v>
      </c>
      <c r="AU288" s="274">
        <f>ROUND(AM288*(P288/12)*U288,0)</f>
        <v>0</v>
      </c>
      <c r="AW288" s="144">
        <f t="shared" si="85"/>
        <v>0</v>
      </c>
    </row>
    <row r="289" spans="1:49" x14ac:dyDescent="0.15">
      <c r="A289" s="173"/>
      <c r="B289" s="174"/>
      <c r="C289" s="174"/>
      <c r="D289" s="165" t="str">
        <f t="shared" si="86"/>
        <v xml:space="preserve"> </v>
      </c>
      <c r="E289" s="177"/>
      <c r="F289" s="287">
        <v>0</v>
      </c>
      <c r="G289" s="177">
        <v>37</v>
      </c>
      <c r="H289" s="177">
        <v>37</v>
      </c>
      <c r="I289" s="177"/>
      <c r="J289" s="179"/>
      <c r="K289" s="177"/>
      <c r="L289" s="179"/>
      <c r="M289" s="166"/>
      <c r="N289" s="166"/>
      <c r="O289" s="166"/>
      <c r="P289" s="166"/>
      <c r="Q289" s="167"/>
      <c r="R289" s="167"/>
      <c r="S289" s="168"/>
      <c r="V289" s="144">
        <f t="shared" si="77"/>
        <v>0</v>
      </c>
      <c r="W289" s="144">
        <f t="shared" si="78"/>
        <v>0</v>
      </c>
      <c r="X289" s="144">
        <f t="shared" si="69"/>
        <v>0</v>
      </c>
      <c r="Y289" s="144">
        <f t="shared" si="79"/>
        <v>34.464599999999997</v>
      </c>
      <c r="Z289" s="169">
        <f t="shared" si="71"/>
        <v>0</v>
      </c>
      <c r="AA289" s="274">
        <f t="shared" si="72"/>
        <v>0</v>
      </c>
      <c r="AB289" s="169">
        <f t="shared" si="80"/>
        <v>0</v>
      </c>
      <c r="AC289" s="274">
        <f t="shared" si="73"/>
        <v>0</v>
      </c>
      <c r="AD289" s="169">
        <f t="shared" si="74"/>
        <v>0</v>
      </c>
      <c r="AE289" s="274">
        <f t="shared" si="75"/>
        <v>0</v>
      </c>
      <c r="AF289" s="169">
        <f t="shared" si="81"/>
        <v>0</v>
      </c>
      <c r="AG289" s="274">
        <f t="shared" si="76"/>
        <v>0</v>
      </c>
      <c r="AH289" s="169">
        <f t="shared" si="82"/>
        <v>0</v>
      </c>
      <c r="AI289" s="169"/>
      <c r="AJ289" s="169">
        <f t="shared" si="83"/>
        <v>0</v>
      </c>
      <c r="AK289" s="169">
        <f t="shared" si="84"/>
        <v>0</v>
      </c>
      <c r="AL289" s="169"/>
      <c r="AM289" s="169"/>
      <c r="AN289" s="169"/>
      <c r="AQ289" s="169"/>
      <c r="AW289" s="144">
        <f t="shared" si="85"/>
        <v>0</v>
      </c>
    </row>
    <row r="290" spans="1:49" ht="9.75" thickBot="1" x14ac:dyDescent="0.2">
      <c r="A290" s="175"/>
      <c r="B290" s="176"/>
      <c r="C290" s="176"/>
      <c r="D290" s="170" t="str">
        <f t="shared" si="86"/>
        <v xml:space="preserve"> </v>
      </c>
      <c r="E290" s="178"/>
      <c r="F290" s="288">
        <v>0</v>
      </c>
      <c r="G290" s="178">
        <v>37</v>
      </c>
      <c r="H290" s="178">
        <v>37</v>
      </c>
      <c r="I290" s="178"/>
      <c r="J290" s="180"/>
      <c r="K290" s="178"/>
      <c r="L290" s="180"/>
      <c r="M290" s="180"/>
      <c r="N290" s="178"/>
      <c r="O290" s="178"/>
      <c r="P290" s="178"/>
      <c r="Q290" s="171">
        <f>AS290</f>
        <v>0</v>
      </c>
      <c r="R290" s="171">
        <f>AT290</f>
        <v>0</v>
      </c>
      <c r="S290" s="172">
        <f>AU290</f>
        <v>0</v>
      </c>
      <c r="U290" s="144">
        <f>IF(OR(C289=5,C290=5),0,1)</f>
        <v>1</v>
      </c>
      <c r="V290" s="144">
        <f t="shared" si="77"/>
        <v>0</v>
      </c>
      <c r="W290" s="144">
        <f t="shared" si="78"/>
        <v>0</v>
      </c>
      <c r="X290" s="144">
        <f t="shared" si="69"/>
        <v>0</v>
      </c>
      <c r="Y290" s="144">
        <f t="shared" si="79"/>
        <v>34.464599999999997</v>
      </c>
      <c r="Z290" s="169">
        <f t="shared" si="71"/>
        <v>0</v>
      </c>
      <c r="AA290" s="274">
        <f t="shared" si="72"/>
        <v>0</v>
      </c>
      <c r="AB290" s="169">
        <f t="shared" si="80"/>
        <v>0</v>
      </c>
      <c r="AC290" s="274">
        <f t="shared" si="73"/>
        <v>0</v>
      </c>
      <c r="AD290" s="169">
        <f t="shared" si="74"/>
        <v>0</v>
      </c>
      <c r="AE290" s="274">
        <f t="shared" si="75"/>
        <v>0</v>
      </c>
      <c r="AF290" s="169">
        <f t="shared" si="81"/>
        <v>0</v>
      </c>
      <c r="AG290" s="274">
        <f t="shared" si="76"/>
        <v>0</v>
      </c>
      <c r="AH290" s="169">
        <f t="shared" si="82"/>
        <v>0</v>
      </c>
      <c r="AI290" s="169"/>
      <c r="AJ290" s="169">
        <f t="shared" si="83"/>
        <v>0</v>
      </c>
      <c r="AK290" s="169">
        <f t="shared" si="84"/>
        <v>0</v>
      </c>
      <c r="AL290" s="169"/>
      <c r="AM290" s="169">
        <f>AK289*W289+AK290*W290</f>
        <v>0</v>
      </c>
      <c r="AN290" s="169">
        <f>(SUM(AD289:AG289)*W289+SUM(AD290:AG290)*W290)*12*VLOOKUP(C290,JNovergang,3,1)</f>
        <v>0</v>
      </c>
      <c r="AO290" s="169">
        <f>AM290-AN290</f>
        <v>0</v>
      </c>
      <c r="AP290" s="169">
        <f>M290*(100+X290)%</f>
        <v>0</v>
      </c>
      <c r="AQ290" s="274">
        <f>ROUND(M290*F290,2)</f>
        <v>0</v>
      </c>
      <c r="AS290" s="274">
        <f>ROUND((AP290+AQ290)+AM290*(N290/12),0)</f>
        <v>0</v>
      </c>
      <c r="AT290" s="274">
        <f>ROUND(AM290*(O290/12),0)</f>
        <v>0</v>
      </c>
      <c r="AU290" s="274">
        <f>ROUND(AM290*(P290/12)*U290,0)</f>
        <v>0</v>
      </c>
      <c r="AW290" s="144">
        <f t="shared" si="85"/>
        <v>0</v>
      </c>
    </row>
    <row r="291" spans="1:49" x14ac:dyDescent="0.15">
      <c r="A291" s="173"/>
      <c r="B291" s="174"/>
      <c r="C291" s="174"/>
      <c r="D291" s="165" t="str">
        <f t="shared" si="86"/>
        <v xml:space="preserve"> </v>
      </c>
      <c r="E291" s="177"/>
      <c r="F291" s="287">
        <v>0</v>
      </c>
      <c r="G291" s="177">
        <v>37</v>
      </c>
      <c r="H291" s="177">
        <v>37</v>
      </c>
      <c r="I291" s="177"/>
      <c r="J291" s="179"/>
      <c r="K291" s="177"/>
      <c r="L291" s="179"/>
      <c r="M291" s="166"/>
      <c r="N291" s="166"/>
      <c r="O291" s="166"/>
      <c r="P291" s="166"/>
      <c r="Q291" s="167"/>
      <c r="R291" s="167"/>
      <c r="S291" s="168"/>
      <c r="V291" s="144">
        <f t="shared" si="77"/>
        <v>0</v>
      </c>
      <c r="W291" s="144">
        <f t="shared" si="78"/>
        <v>0</v>
      </c>
      <c r="X291" s="144">
        <f t="shared" si="69"/>
        <v>0</v>
      </c>
      <c r="Y291" s="144">
        <f t="shared" si="79"/>
        <v>34.464599999999997</v>
      </c>
      <c r="Z291" s="169">
        <f t="shared" si="71"/>
        <v>0</v>
      </c>
      <c r="AA291" s="274">
        <f t="shared" si="72"/>
        <v>0</v>
      </c>
      <c r="AB291" s="169">
        <f t="shared" si="80"/>
        <v>0</v>
      </c>
      <c r="AC291" s="274">
        <f t="shared" si="73"/>
        <v>0</v>
      </c>
      <c r="AD291" s="169">
        <f t="shared" si="74"/>
        <v>0</v>
      </c>
      <c r="AE291" s="274">
        <f t="shared" si="75"/>
        <v>0</v>
      </c>
      <c r="AF291" s="169">
        <f t="shared" si="81"/>
        <v>0</v>
      </c>
      <c r="AG291" s="274">
        <f t="shared" si="76"/>
        <v>0</v>
      </c>
      <c r="AH291" s="169">
        <f t="shared" si="82"/>
        <v>0</v>
      </c>
      <c r="AI291" s="169"/>
      <c r="AJ291" s="169">
        <f t="shared" si="83"/>
        <v>0</v>
      </c>
      <c r="AK291" s="169">
        <f t="shared" si="84"/>
        <v>0</v>
      </c>
      <c r="AL291" s="169"/>
      <c r="AM291" s="169"/>
      <c r="AN291" s="169"/>
      <c r="AQ291" s="169"/>
      <c r="AW291" s="144">
        <f t="shared" si="85"/>
        <v>0</v>
      </c>
    </row>
    <row r="292" spans="1:49" ht="9.75" thickBot="1" x14ac:dyDescent="0.2">
      <c r="A292" s="175"/>
      <c r="B292" s="176"/>
      <c r="C292" s="176"/>
      <c r="D292" s="170" t="str">
        <f t="shared" si="86"/>
        <v xml:space="preserve"> </v>
      </c>
      <c r="E292" s="178"/>
      <c r="F292" s="288">
        <v>0</v>
      </c>
      <c r="G292" s="178">
        <v>37</v>
      </c>
      <c r="H292" s="178">
        <v>37</v>
      </c>
      <c r="I292" s="178"/>
      <c r="J292" s="180"/>
      <c r="K292" s="178"/>
      <c r="L292" s="180"/>
      <c r="M292" s="180"/>
      <c r="N292" s="178"/>
      <c r="O292" s="178"/>
      <c r="P292" s="178"/>
      <c r="Q292" s="171">
        <f>AS292</f>
        <v>0</v>
      </c>
      <c r="R292" s="171">
        <f>AT292</f>
        <v>0</v>
      </c>
      <c r="S292" s="172">
        <f>AU292</f>
        <v>0</v>
      </c>
      <c r="U292" s="144">
        <f>IF(OR(C291=5,C292=5),0,1)</f>
        <v>1</v>
      </c>
      <c r="V292" s="144">
        <f t="shared" si="77"/>
        <v>0</v>
      </c>
      <c r="W292" s="144">
        <f t="shared" si="78"/>
        <v>0</v>
      </c>
      <c r="X292" s="144">
        <f t="shared" si="69"/>
        <v>0</v>
      </c>
      <c r="Y292" s="144">
        <f t="shared" si="79"/>
        <v>34.464599999999997</v>
      </c>
      <c r="Z292" s="169">
        <f t="shared" si="71"/>
        <v>0</v>
      </c>
      <c r="AA292" s="274">
        <f t="shared" si="72"/>
        <v>0</v>
      </c>
      <c r="AB292" s="169">
        <f t="shared" si="80"/>
        <v>0</v>
      </c>
      <c r="AC292" s="274">
        <f t="shared" si="73"/>
        <v>0</v>
      </c>
      <c r="AD292" s="169">
        <f t="shared" si="74"/>
        <v>0</v>
      </c>
      <c r="AE292" s="274">
        <f t="shared" si="75"/>
        <v>0</v>
      </c>
      <c r="AF292" s="169">
        <f t="shared" si="81"/>
        <v>0</v>
      </c>
      <c r="AG292" s="274">
        <f t="shared" si="76"/>
        <v>0</v>
      </c>
      <c r="AH292" s="169">
        <f t="shared" si="82"/>
        <v>0</v>
      </c>
      <c r="AI292" s="169"/>
      <c r="AJ292" s="169">
        <f t="shared" si="83"/>
        <v>0</v>
      </c>
      <c r="AK292" s="169">
        <f t="shared" si="84"/>
        <v>0</v>
      </c>
      <c r="AL292" s="169"/>
      <c r="AM292" s="169">
        <f>AK291*W291+AK292*W292</f>
        <v>0</v>
      </c>
      <c r="AN292" s="169">
        <f>(SUM(AD291:AG291)*W291+SUM(AD292:AG292)*W292)*12*VLOOKUP(C292,JNovergang,3,1)</f>
        <v>0</v>
      </c>
      <c r="AO292" s="169">
        <f>AM292-AN292</f>
        <v>0</v>
      </c>
      <c r="AP292" s="169">
        <f>M292*(100+X292)%</f>
        <v>0</v>
      </c>
      <c r="AQ292" s="274">
        <f>ROUND(M292*F292,2)</f>
        <v>0</v>
      </c>
      <c r="AS292" s="274">
        <f>ROUND((AP292+AQ292)+AM292*(N292/12),0)</f>
        <v>0</v>
      </c>
      <c r="AT292" s="274">
        <f>ROUND(AM292*(O292/12),0)</f>
        <v>0</v>
      </c>
      <c r="AU292" s="274">
        <f>ROUND(AM292*(P292/12)*U292,0)</f>
        <v>0</v>
      </c>
      <c r="AW292" s="144">
        <f t="shared" si="85"/>
        <v>0</v>
      </c>
    </row>
    <row r="293" spans="1:49" x14ac:dyDescent="0.15">
      <c r="A293" s="173"/>
      <c r="B293" s="174"/>
      <c r="C293" s="174"/>
      <c r="D293" s="165" t="str">
        <f t="shared" si="86"/>
        <v xml:space="preserve"> </v>
      </c>
      <c r="E293" s="177"/>
      <c r="F293" s="287">
        <v>0</v>
      </c>
      <c r="G293" s="177">
        <v>37</v>
      </c>
      <c r="H293" s="177">
        <v>37</v>
      </c>
      <c r="I293" s="177"/>
      <c r="J293" s="179"/>
      <c r="K293" s="177"/>
      <c r="L293" s="179"/>
      <c r="M293" s="166"/>
      <c r="N293" s="166"/>
      <c r="O293" s="166"/>
      <c r="P293" s="166"/>
      <c r="Q293" s="167"/>
      <c r="R293" s="167"/>
      <c r="S293" s="168"/>
      <c r="V293" s="144">
        <f t="shared" si="77"/>
        <v>0</v>
      </c>
      <c r="W293" s="144">
        <f t="shared" si="78"/>
        <v>0</v>
      </c>
      <c r="X293" s="144">
        <f t="shared" si="69"/>
        <v>0</v>
      </c>
      <c r="Y293" s="144">
        <f t="shared" si="79"/>
        <v>34.464599999999997</v>
      </c>
      <c r="Z293" s="169">
        <f t="shared" si="71"/>
        <v>0</v>
      </c>
      <c r="AA293" s="274">
        <f t="shared" si="72"/>
        <v>0</v>
      </c>
      <c r="AB293" s="169">
        <f t="shared" si="80"/>
        <v>0</v>
      </c>
      <c r="AC293" s="274">
        <f t="shared" si="73"/>
        <v>0</v>
      </c>
      <c r="AD293" s="169">
        <f t="shared" si="74"/>
        <v>0</v>
      </c>
      <c r="AE293" s="274">
        <f t="shared" si="75"/>
        <v>0</v>
      </c>
      <c r="AF293" s="169">
        <f t="shared" si="81"/>
        <v>0</v>
      </c>
      <c r="AG293" s="274">
        <f t="shared" si="76"/>
        <v>0</v>
      </c>
      <c r="AH293" s="169">
        <f t="shared" si="82"/>
        <v>0</v>
      </c>
      <c r="AI293" s="169"/>
      <c r="AJ293" s="169">
        <f t="shared" si="83"/>
        <v>0</v>
      </c>
      <c r="AK293" s="169">
        <f t="shared" si="84"/>
        <v>0</v>
      </c>
      <c r="AL293" s="169"/>
      <c r="AM293" s="169"/>
      <c r="AN293" s="169"/>
      <c r="AQ293" s="169"/>
      <c r="AW293" s="144">
        <f t="shared" si="85"/>
        <v>0</v>
      </c>
    </row>
    <row r="294" spans="1:49" ht="9.75" thickBot="1" x14ac:dyDescent="0.2">
      <c r="A294" s="175"/>
      <c r="B294" s="176"/>
      <c r="C294" s="176"/>
      <c r="D294" s="170" t="str">
        <f t="shared" si="86"/>
        <v xml:space="preserve"> </v>
      </c>
      <c r="E294" s="178"/>
      <c r="F294" s="288">
        <v>0</v>
      </c>
      <c r="G294" s="178">
        <v>37</v>
      </c>
      <c r="H294" s="178">
        <v>37</v>
      </c>
      <c r="I294" s="178"/>
      <c r="J294" s="180"/>
      <c r="K294" s="178"/>
      <c r="L294" s="180"/>
      <c r="M294" s="180"/>
      <c r="N294" s="178"/>
      <c r="O294" s="178"/>
      <c r="P294" s="178"/>
      <c r="Q294" s="171">
        <f>AS294</f>
        <v>0</v>
      </c>
      <c r="R294" s="171">
        <f>AT294</f>
        <v>0</v>
      </c>
      <c r="S294" s="172">
        <f>AU294</f>
        <v>0</v>
      </c>
      <c r="U294" s="144">
        <f>IF(OR(C293=5,C294=5),0,1)</f>
        <v>1</v>
      </c>
      <c r="V294" s="144">
        <f t="shared" si="77"/>
        <v>0</v>
      </c>
      <c r="W294" s="144">
        <f t="shared" si="78"/>
        <v>0</v>
      </c>
      <c r="X294" s="144">
        <f t="shared" si="69"/>
        <v>0</v>
      </c>
      <c r="Y294" s="144">
        <f t="shared" si="79"/>
        <v>34.464599999999997</v>
      </c>
      <c r="Z294" s="169">
        <f t="shared" si="71"/>
        <v>0</v>
      </c>
      <c r="AA294" s="274">
        <f t="shared" si="72"/>
        <v>0</v>
      </c>
      <c r="AB294" s="169">
        <f t="shared" si="80"/>
        <v>0</v>
      </c>
      <c r="AC294" s="274">
        <f t="shared" si="73"/>
        <v>0</v>
      </c>
      <c r="AD294" s="169">
        <f t="shared" si="74"/>
        <v>0</v>
      </c>
      <c r="AE294" s="274">
        <f t="shared" si="75"/>
        <v>0</v>
      </c>
      <c r="AF294" s="169">
        <f t="shared" si="81"/>
        <v>0</v>
      </c>
      <c r="AG294" s="274">
        <f t="shared" si="76"/>
        <v>0</v>
      </c>
      <c r="AH294" s="169">
        <f t="shared" si="82"/>
        <v>0</v>
      </c>
      <c r="AI294" s="169"/>
      <c r="AJ294" s="169">
        <f t="shared" si="83"/>
        <v>0</v>
      </c>
      <c r="AK294" s="169">
        <f t="shared" si="84"/>
        <v>0</v>
      </c>
      <c r="AL294" s="169"/>
      <c r="AM294" s="169">
        <f>AK293*W293+AK294*W294</f>
        <v>0</v>
      </c>
      <c r="AN294" s="169">
        <f>(SUM(AD293:AG293)*W293+SUM(AD294:AG294)*W294)*12*VLOOKUP(C294,JNovergang,3,1)</f>
        <v>0</v>
      </c>
      <c r="AO294" s="169">
        <f>AM294-AN294</f>
        <v>0</v>
      </c>
      <c r="AP294" s="169">
        <f>M294*(100+X294)%</f>
        <v>0</v>
      </c>
      <c r="AQ294" s="274">
        <f>ROUND(M294*F294,2)</f>
        <v>0</v>
      </c>
      <c r="AS294" s="274">
        <f>ROUND((AP294+AQ294)+AM294*(N294/12),0)</f>
        <v>0</v>
      </c>
      <c r="AT294" s="274">
        <f>ROUND(AM294*(O294/12),0)</f>
        <v>0</v>
      </c>
      <c r="AU294" s="274">
        <f>ROUND(AM294*(P294/12)*U294,0)</f>
        <v>0</v>
      </c>
      <c r="AW294" s="144">
        <f t="shared" si="85"/>
        <v>0</v>
      </c>
    </row>
    <row r="295" spans="1:49" x14ac:dyDescent="0.15">
      <c r="A295" s="173"/>
      <c r="B295" s="174"/>
      <c r="C295" s="174"/>
      <c r="D295" s="165" t="str">
        <f t="shared" si="86"/>
        <v xml:space="preserve"> </v>
      </c>
      <c r="E295" s="177"/>
      <c r="F295" s="287">
        <v>0</v>
      </c>
      <c r="G295" s="177">
        <v>37</v>
      </c>
      <c r="H295" s="177">
        <v>37</v>
      </c>
      <c r="I295" s="177"/>
      <c r="J295" s="179"/>
      <c r="K295" s="177"/>
      <c r="L295" s="179"/>
      <c r="M295" s="166"/>
      <c r="N295" s="166"/>
      <c r="O295" s="166"/>
      <c r="P295" s="166"/>
      <c r="Q295" s="167"/>
      <c r="R295" s="167"/>
      <c r="S295" s="168"/>
      <c r="V295" s="144">
        <f t="shared" si="77"/>
        <v>0</v>
      </c>
      <c r="W295" s="144">
        <f t="shared" si="78"/>
        <v>0</v>
      </c>
      <c r="X295" s="144">
        <f t="shared" si="69"/>
        <v>0</v>
      </c>
      <c r="Y295" s="144">
        <f t="shared" si="79"/>
        <v>34.464599999999997</v>
      </c>
      <c r="Z295" s="169">
        <f t="shared" si="71"/>
        <v>0</v>
      </c>
      <c r="AA295" s="274">
        <f t="shared" si="72"/>
        <v>0</v>
      </c>
      <c r="AB295" s="169">
        <f t="shared" si="80"/>
        <v>0</v>
      </c>
      <c r="AC295" s="274">
        <f t="shared" si="73"/>
        <v>0</v>
      </c>
      <c r="AD295" s="169">
        <f t="shared" si="74"/>
        <v>0</v>
      </c>
      <c r="AE295" s="274">
        <f t="shared" si="75"/>
        <v>0</v>
      </c>
      <c r="AF295" s="169">
        <f t="shared" si="81"/>
        <v>0</v>
      </c>
      <c r="AG295" s="274">
        <f t="shared" si="76"/>
        <v>0</v>
      </c>
      <c r="AH295" s="169">
        <f t="shared" si="82"/>
        <v>0</v>
      </c>
      <c r="AI295" s="169"/>
      <c r="AJ295" s="169">
        <f t="shared" si="83"/>
        <v>0</v>
      </c>
      <c r="AK295" s="169">
        <f t="shared" si="84"/>
        <v>0</v>
      </c>
      <c r="AL295" s="169"/>
      <c r="AM295" s="169"/>
      <c r="AN295" s="169"/>
      <c r="AQ295" s="169"/>
      <c r="AW295" s="144">
        <f t="shared" si="85"/>
        <v>0</v>
      </c>
    </row>
    <row r="296" spans="1:49" ht="9.75" thickBot="1" x14ac:dyDescent="0.2">
      <c r="A296" s="175"/>
      <c r="B296" s="176"/>
      <c r="C296" s="176"/>
      <c r="D296" s="170" t="str">
        <f t="shared" si="86"/>
        <v xml:space="preserve"> </v>
      </c>
      <c r="E296" s="178"/>
      <c r="F296" s="288">
        <v>0</v>
      </c>
      <c r="G296" s="178">
        <v>37</v>
      </c>
      <c r="H296" s="178">
        <v>37</v>
      </c>
      <c r="I296" s="178"/>
      <c r="J296" s="180"/>
      <c r="K296" s="178"/>
      <c r="L296" s="180"/>
      <c r="M296" s="180"/>
      <c r="N296" s="178"/>
      <c r="O296" s="178"/>
      <c r="P296" s="178"/>
      <c r="Q296" s="171">
        <f>AS296</f>
        <v>0</v>
      </c>
      <c r="R296" s="171">
        <f>AT296</f>
        <v>0</v>
      </c>
      <c r="S296" s="172">
        <f>AU296</f>
        <v>0</v>
      </c>
      <c r="U296" s="144">
        <f>IF(OR(C295=5,C296=5),0,1)</f>
        <v>1</v>
      </c>
      <c r="V296" s="144">
        <f t="shared" si="77"/>
        <v>0</v>
      </c>
      <c r="W296" s="144">
        <f t="shared" si="78"/>
        <v>0</v>
      </c>
      <c r="X296" s="144">
        <f t="shared" si="69"/>
        <v>0</v>
      </c>
      <c r="Y296" s="144">
        <f t="shared" si="79"/>
        <v>34.464599999999997</v>
      </c>
      <c r="Z296" s="169">
        <f t="shared" si="71"/>
        <v>0</v>
      </c>
      <c r="AA296" s="274">
        <f t="shared" si="72"/>
        <v>0</v>
      </c>
      <c r="AB296" s="169">
        <f t="shared" si="80"/>
        <v>0</v>
      </c>
      <c r="AC296" s="274">
        <f t="shared" si="73"/>
        <v>0</v>
      </c>
      <c r="AD296" s="169">
        <f t="shared" si="74"/>
        <v>0</v>
      </c>
      <c r="AE296" s="274">
        <f t="shared" si="75"/>
        <v>0</v>
      </c>
      <c r="AF296" s="169">
        <f t="shared" si="81"/>
        <v>0</v>
      </c>
      <c r="AG296" s="274">
        <f t="shared" si="76"/>
        <v>0</v>
      </c>
      <c r="AH296" s="169">
        <f t="shared" si="82"/>
        <v>0</v>
      </c>
      <c r="AI296" s="169"/>
      <c r="AJ296" s="169">
        <f t="shared" si="83"/>
        <v>0</v>
      </c>
      <c r="AK296" s="169">
        <f t="shared" si="84"/>
        <v>0</v>
      </c>
      <c r="AL296" s="169"/>
      <c r="AM296" s="169">
        <f>AK295*W295+AK296*W296</f>
        <v>0</v>
      </c>
      <c r="AN296" s="169">
        <f>(SUM(AD295:AG295)*W295+SUM(AD296:AG296)*W296)*12*VLOOKUP(C296,JNovergang,3,1)</f>
        <v>0</v>
      </c>
      <c r="AO296" s="169">
        <f>AM296-AN296</f>
        <v>0</v>
      </c>
      <c r="AP296" s="169">
        <f>M296*(100+X296)%</f>
        <v>0</v>
      </c>
      <c r="AQ296" s="274">
        <f>ROUND(M296*F296,2)</f>
        <v>0</v>
      </c>
      <c r="AS296" s="274">
        <f>ROUND((AP296+AQ296)+AM296*(N296/12),0)</f>
        <v>0</v>
      </c>
      <c r="AT296" s="274">
        <f>ROUND(AM296*(O296/12),0)</f>
        <v>0</v>
      </c>
      <c r="AU296" s="274">
        <f>ROUND(AM296*(P296/12)*U296,0)</f>
        <v>0</v>
      </c>
      <c r="AW296" s="144">
        <f t="shared" si="85"/>
        <v>0</v>
      </c>
    </row>
    <row r="297" spans="1:49" x14ac:dyDescent="0.15">
      <c r="A297" s="173"/>
      <c r="B297" s="174"/>
      <c r="C297" s="174"/>
      <c r="D297" s="165" t="str">
        <f t="shared" si="86"/>
        <v xml:space="preserve"> </v>
      </c>
      <c r="E297" s="177"/>
      <c r="F297" s="287">
        <v>0</v>
      </c>
      <c r="G297" s="177">
        <v>37</v>
      </c>
      <c r="H297" s="177">
        <v>37</v>
      </c>
      <c r="I297" s="177"/>
      <c r="J297" s="179"/>
      <c r="K297" s="177"/>
      <c r="L297" s="179"/>
      <c r="M297" s="166"/>
      <c r="N297" s="166"/>
      <c r="O297" s="166"/>
      <c r="P297" s="166"/>
      <c r="Q297" s="167"/>
      <c r="R297" s="167"/>
      <c r="S297" s="168"/>
      <c r="V297" s="144">
        <f t="shared" si="77"/>
        <v>0</v>
      </c>
      <c r="W297" s="144">
        <f t="shared" si="78"/>
        <v>0</v>
      </c>
      <c r="X297" s="144">
        <f t="shared" si="69"/>
        <v>0</v>
      </c>
      <c r="Y297" s="144">
        <f t="shared" si="79"/>
        <v>34.464599999999997</v>
      </c>
      <c r="Z297" s="169">
        <f t="shared" si="71"/>
        <v>0</v>
      </c>
      <c r="AA297" s="274">
        <f t="shared" si="72"/>
        <v>0</v>
      </c>
      <c r="AB297" s="169">
        <f t="shared" si="80"/>
        <v>0</v>
      </c>
      <c r="AC297" s="274">
        <f t="shared" si="73"/>
        <v>0</v>
      </c>
      <c r="AD297" s="169">
        <f t="shared" si="74"/>
        <v>0</v>
      </c>
      <c r="AE297" s="274">
        <f t="shared" si="75"/>
        <v>0</v>
      </c>
      <c r="AF297" s="169">
        <f t="shared" si="81"/>
        <v>0</v>
      </c>
      <c r="AG297" s="274">
        <f t="shared" si="76"/>
        <v>0</v>
      </c>
      <c r="AH297" s="169">
        <f t="shared" si="82"/>
        <v>0</v>
      </c>
      <c r="AI297" s="169"/>
      <c r="AJ297" s="169">
        <f t="shared" si="83"/>
        <v>0</v>
      </c>
      <c r="AK297" s="169">
        <f t="shared" si="84"/>
        <v>0</v>
      </c>
      <c r="AL297" s="169"/>
      <c r="AM297" s="169"/>
      <c r="AN297" s="169"/>
      <c r="AQ297" s="169"/>
      <c r="AW297" s="144">
        <f t="shared" si="85"/>
        <v>0</v>
      </c>
    </row>
    <row r="298" spans="1:49" ht="9.75" thickBot="1" x14ac:dyDescent="0.2">
      <c r="A298" s="175"/>
      <c r="B298" s="176"/>
      <c r="C298" s="176"/>
      <c r="D298" s="170" t="str">
        <f t="shared" si="86"/>
        <v xml:space="preserve"> </v>
      </c>
      <c r="E298" s="178"/>
      <c r="F298" s="288">
        <v>0</v>
      </c>
      <c r="G298" s="178">
        <v>37</v>
      </c>
      <c r="H298" s="178">
        <v>37</v>
      </c>
      <c r="I298" s="178"/>
      <c r="J298" s="180"/>
      <c r="K298" s="178"/>
      <c r="L298" s="180"/>
      <c r="M298" s="180"/>
      <c r="N298" s="178"/>
      <c r="O298" s="178"/>
      <c r="P298" s="178"/>
      <c r="Q298" s="171">
        <f>AS298</f>
        <v>0</v>
      </c>
      <c r="R298" s="171">
        <f>AT298</f>
        <v>0</v>
      </c>
      <c r="S298" s="172">
        <f>AU298</f>
        <v>0</v>
      </c>
      <c r="U298" s="144">
        <f>IF(OR(C297=5,C298=5),0,1)</f>
        <v>1</v>
      </c>
      <c r="V298" s="144">
        <f t="shared" si="77"/>
        <v>0</v>
      </c>
      <c r="W298" s="144">
        <f t="shared" si="78"/>
        <v>0</v>
      </c>
      <c r="X298" s="144">
        <f t="shared" si="69"/>
        <v>0</v>
      </c>
      <c r="Y298" s="144">
        <f t="shared" si="79"/>
        <v>34.464599999999997</v>
      </c>
      <c r="Z298" s="169">
        <f t="shared" si="71"/>
        <v>0</v>
      </c>
      <c r="AA298" s="274">
        <f t="shared" si="72"/>
        <v>0</v>
      </c>
      <c r="AB298" s="169">
        <f t="shared" si="80"/>
        <v>0</v>
      </c>
      <c r="AC298" s="274">
        <f t="shared" si="73"/>
        <v>0</v>
      </c>
      <c r="AD298" s="169">
        <f t="shared" si="74"/>
        <v>0</v>
      </c>
      <c r="AE298" s="274">
        <f t="shared" si="75"/>
        <v>0</v>
      </c>
      <c r="AF298" s="169">
        <f t="shared" si="81"/>
        <v>0</v>
      </c>
      <c r="AG298" s="274">
        <f t="shared" si="76"/>
        <v>0</v>
      </c>
      <c r="AH298" s="169">
        <f t="shared" si="82"/>
        <v>0</v>
      </c>
      <c r="AI298" s="169"/>
      <c r="AJ298" s="169">
        <f t="shared" si="83"/>
        <v>0</v>
      </c>
      <c r="AK298" s="169">
        <f t="shared" si="84"/>
        <v>0</v>
      </c>
      <c r="AL298" s="169"/>
      <c r="AM298" s="169">
        <f>AK297*W297+AK298*W298</f>
        <v>0</v>
      </c>
      <c r="AN298" s="169">
        <f>(SUM(AD297:AG297)*W297+SUM(AD298:AG298)*W298)*12*VLOOKUP(C298,JNovergang,3,1)</f>
        <v>0</v>
      </c>
      <c r="AO298" s="169">
        <f>AM298-AN298</f>
        <v>0</v>
      </c>
      <c r="AP298" s="169">
        <f>M298*(100+X298)%</f>
        <v>0</v>
      </c>
      <c r="AQ298" s="274">
        <f>ROUND(M298*F298,2)</f>
        <v>0</v>
      </c>
      <c r="AS298" s="274">
        <f>ROUND((AP298+AQ298)+AM298*(N298/12),0)</f>
        <v>0</v>
      </c>
      <c r="AT298" s="274">
        <f>ROUND(AM298*(O298/12),0)</f>
        <v>0</v>
      </c>
      <c r="AU298" s="274">
        <f>ROUND(AM298*(P298/12)*U298,0)</f>
        <v>0</v>
      </c>
      <c r="AW298" s="144">
        <f t="shared" si="85"/>
        <v>0</v>
      </c>
    </row>
    <row r="299" spans="1:49" x14ac:dyDescent="0.15">
      <c r="A299" s="173"/>
      <c r="B299" s="174"/>
      <c r="C299" s="174"/>
      <c r="D299" s="165" t="str">
        <f t="shared" si="86"/>
        <v xml:space="preserve"> </v>
      </c>
      <c r="E299" s="177"/>
      <c r="F299" s="287">
        <v>0</v>
      </c>
      <c r="G299" s="177">
        <v>37</v>
      </c>
      <c r="H299" s="177">
        <v>37</v>
      </c>
      <c r="I299" s="177"/>
      <c r="J299" s="179"/>
      <c r="K299" s="177"/>
      <c r="L299" s="179"/>
      <c r="M299" s="166"/>
      <c r="N299" s="166"/>
      <c r="O299" s="166"/>
      <c r="P299" s="166"/>
      <c r="Q299" s="167"/>
      <c r="R299" s="167"/>
      <c r="S299" s="168"/>
      <c r="V299" s="144">
        <f t="shared" si="77"/>
        <v>0</v>
      </c>
      <c r="W299" s="144">
        <f t="shared" si="78"/>
        <v>0</v>
      </c>
      <c r="X299" s="144">
        <f t="shared" si="69"/>
        <v>0</v>
      </c>
      <c r="Y299" s="144">
        <f t="shared" si="79"/>
        <v>34.464599999999997</v>
      </c>
      <c r="Z299" s="169">
        <f t="shared" si="71"/>
        <v>0</v>
      </c>
      <c r="AA299" s="274">
        <f t="shared" si="72"/>
        <v>0</v>
      </c>
      <c r="AB299" s="169">
        <f t="shared" si="80"/>
        <v>0</v>
      </c>
      <c r="AC299" s="274">
        <f t="shared" si="73"/>
        <v>0</v>
      </c>
      <c r="AD299" s="169">
        <f t="shared" si="74"/>
        <v>0</v>
      </c>
      <c r="AE299" s="274">
        <f t="shared" si="75"/>
        <v>0</v>
      </c>
      <c r="AF299" s="169">
        <f t="shared" si="81"/>
        <v>0</v>
      </c>
      <c r="AG299" s="274">
        <f t="shared" si="76"/>
        <v>0</v>
      </c>
      <c r="AH299" s="169">
        <f t="shared" si="82"/>
        <v>0</v>
      </c>
      <c r="AI299" s="169"/>
      <c r="AJ299" s="169">
        <f t="shared" si="83"/>
        <v>0</v>
      </c>
      <c r="AK299" s="169">
        <f t="shared" si="84"/>
        <v>0</v>
      </c>
      <c r="AL299" s="169"/>
      <c r="AM299" s="169"/>
      <c r="AN299" s="169"/>
      <c r="AQ299" s="169"/>
      <c r="AW299" s="144">
        <f t="shared" si="85"/>
        <v>0</v>
      </c>
    </row>
    <row r="300" spans="1:49" ht="9.75" thickBot="1" x14ac:dyDescent="0.2">
      <c r="A300" s="175"/>
      <c r="B300" s="176"/>
      <c r="C300" s="176"/>
      <c r="D300" s="170" t="str">
        <f t="shared" si="86"/>
        <v xml:space="preserve"> </v>
      </c>
      <c r="E300" s="178"/>
      <c r="F300" s="288">
        <v>0</v>
      </c>
      <c r="G300" s="178">
        <v>37</v>
      </c>
      <c r="H300" s="178">
        <v>37</v>
      </c>
      <c r="I300" s="178"/>
      <c r="J300" s="180"/>
      <c r="K300" s="178"/>
      <c r="L300" s="180"/>
      <c r="M300" s="180"/>
      <c r="N300" s="178"/>
      <c r="O300" s="178"/>
      <c r="P300" s="178"/>
      <c r="Q300" s="171">
        <f>AS300</f>
        <v>0</v>
      </c>
      <c r="R300" s="171">
        <f>AT300</f>
        <v>0</v>
      </c>
      <c r="S300" s="172">
        <f>AU300</f>
        <v>0</v>
      </c>
      <c r="U300" s="144">
        <f>IF(OR(C299=5,C300=5),0,1)</f>
        <v>1</v>
      </c>
      <c r="V300" s="144">
        <f t="shared" si="77"/>
        <v>0</v>
      </c>
      <c r="W300" s="144">
        <f t="shared" si="78"/>
        <v>0</v>
      </c>
      <c r="X300" s="144">
        <f t="shared" si="69"/>
        <v>0</v>
      </c>
      <c r="Y300" s="144">
        <f t="shared" si="79"/>
        <v>34.464599999999997</v>
      </c>
      <c r="Z300" s="169">
        <f t="shared" si="71"/>
        <v>0</v>
      </c>
      <c r="AA300" s="274">
        <f t="shared" si="72"/>
        <v>0</v>
      </c>
      <c r="AB300" s="169">
        <f t="shared" si="80"/>
        <v>0</v>
      </c>
      <c r="AC300" s="274">
        <f t="shared" si="73"/>
        <v>0</v>
      </c>
      <c r="AD300" s="169">
        <f t="shared" si="74"/>
        <v>0</v>
      </c>
      <c r="AE300" s="274">
        <f t="shared" si="75"/>
        <v>0</v>
      </c>
      <c r="AF300" s="169">
        <f t="shared" si="81"/>
        <v>0</v>
      </c>
      <c r="AG300" s="274">
        <f t="shared" si="76"/>
        <v>0</v>
      </c>
      <c r="AH300" s="169">
        <f t="shared" si="82"/>
        <v>0</v>
      </c>
      <c r="AI300" s="169"/>
      <c r="AJ300" s="169">
        <f t="shared" si="83"/>
        <v>0</v>
      </c>
      <c r="AK300" s="169">
        <f t="shared" si="84"/>
        <v>0</v>
      </c>
      <c r="AL300" s="169"/>
      <c r="AM300" s="169">
        <f>AK299*W299+AK300*W300</f>
        <v>0</v>
      </c>
      <c r="AN300" s="169">
        <f>(SUM(AD299:AG299)*W299+SUM(AD300:AG300)*W300)*12*VLOOKUP(C300,JNovergang,3,1)</f>
        <v>0</v>
      </c>
      <c r="AO300" s="169">
        <f>AM300-AN300</f>
        <v>0</v>
      </c>
      <c r="AP300" s="169">
        <f>M300*(100+X300)%</f>
        <v>0</v>
      </c>
      <c r="AQ300" s="274">
        <f>ROUND(M300*F300,2)</f>
        <v>0</v>
      </c>
      <c r="AS300" s="274">
        <f>ROUND((AP300+AQ300)+AM300*(N300/12),0)</f>
        <v>0</v>
      </c>
      <c r="AT300" s="274">
        <f>ROUND(AM300*(O300/12),0)</f>
        <v>0</v>
      </c>
      <c r="AU300" s="274">
        <f>ROUND(AM300*(P300/12)*U300,0)</f>
        <v>0</v>
      </c>
      <c r="AW300" s="144">
        <f t="shared" si="85"/>
        <v>0</v>
      </c>
    </row>
    <row r="301" spans="1:49" x14ac:dyDescent="0.15">
      <c r="A301" s="173"/>
      <c r="B301" s="174"/>
      <c r="C301" s="174"/>
      <c r="D301" s="165" t="str">
        <f t="shared" si="86"/>
        <v xml:space="preserve"> </v>
      </c>
      <c r="E301" s="177"/>
      <c r="F301" s="287">
        <v>0</v>
      </c>
      <c r="G301" s="177">
        <v>37</v>
      </c>
      <c r="H301" s="177">
        <v>37</v>
      </c>
      <c r="I301" s="177"/>
      <c r="J301" s="179"/>
      <c r="K301" s="177"/>
      <c r="L301" s="179"/>
      <c r="M301" s="166"/>
      <c r="N301" s="166"/>
      <c r="O301" s="166"/>
      <c r="P301" s="166"/>
      <c r="Q301" s="167"/>
      <c r="R301" s="167"/>
      <c r="S301" s="168"/>
      <c r="V301" s="144">
        <f t="shared" si="77"/>
        <v>0</v>
      </c>
      <c r="W301" s="144">
        <f t="shared" si="78"/>
        <v>0</v>
      </c>
      <c r="X301" s="144">
        <f t="shared" si="69"/>
        <v>0</v>
      </c>
      <c r="Y301" s="144">
        <f t="shared" si="79"/>
        <v>34.464599999999997</v>
      </c>
      <c r="Z301" s="169">
        <f t="shared" si="71"/>
        <v>0</v>
      </c>
      <c r="AA301" s="274">
        <f t="shared" si="72"/>
        <v>0</v>
      </c>
      <c r="AB301" s="169">
        <f t="shared" si="80"/>
        <v>0</v>
      </c>
      <c r="AC301" s="274">
        <f t="shared" si="73"/>
        <v>0</v>
      </c>
      <c r="AD301" s="169">
        <f t="shared" si="74"/>
        <v>0</v>
      </c>
      <c r="AE301" s="274">
        <f t="shared" si="75"/>
        <v>0</v>
      </c>
      <c r="AF301" s="169">
        <f t="shared" si="81"/>
        <v>0</v>
      </c>
      <c r="AG301" s="274">
        <f t="shared" si="76"/>
        <v>0</v>
      </c>
      <c r="AH301" s="169">
        <f t="shared" si="82"/>
        <v>0</v>
      </c>
      <c r="AI301" s="169"/>
      <c r="AJ301" s="169">
        <f t="shared" si="83"/>
        <v>0</v>
      </c>
      <c r="AK301" s="169">
        <f t="shared" si="84"/>
        <v>0</v>
      </c>
      <c r="AL301" s="169"/>
      <c r="AM301" s="169"/>
      <c r="AN301" s="169"/>
      <c r="AQ301" s="169"/>
      <c r="AW301" s="144">
        <f t="shared" si="85"/>
        <v>0</v>
      </c>
    </row>
    <row r="302" spans="1:49" ht="9.75" thickBot="1" x14ac:dyDescent="0.2">
      <c r="A302" s="175"/>
      <c r="B302" s="176"/>
      <c r="C302" s="176"/>
      <c r="D302" s="170" t="str">
        <f t="shared" si="86"/>
        <v xml:space="preserve"> </v>
      </c>
      <c r="E302" s="178"/>
      <c r="F302" s="288">
        <v>0</v>
      </c>
      <c r="G302" s="178">
        <v>37</v>
      </c>
      <c r="H302" s="178">
        <v>37</v>
      </c>
      <c r="I302" s="178"/>
      <c r="J302" s="180"/>
      <c r="K302" s="178"/>
      <c r="L302" s="180"/>
      <c r="M302" s="180"/>
      <c r="N302" s="178"/>
      <c r="O302" s="178"/>
      <c r="P302" s="178"/>
      <c r="Q302" s="171">
        <f>AS302</f>
        <v>0</v>
      </c>
      <c r="R302" s="171">
        <f>AT302</f>
        <v>0</v>
      </c>
      <c r="S302" s="172">
        <f>AU302</f>
        <v>0</v>
      </c>
      <c r="U302" s="144">
        <f>IF(OR(C301=5,C302=5),0,1)</f>
        <v>1</v>
      </c>
      <c r="V302" s="144">
        <f t="shared" si="77"/>
        <v>0</v>
      </c>
      <c r="W302" s="144">
        <f t="shared" si="78"/>
        <v>0</v>
      </c>
      <c r="X302" s="144">
        <f t="shared" si="69"/>
        <v>0</v>
      </c>
      <c r="Y302" s="144">
        <f t="shared" si="79"/>
        <v>34.464599999999997</v>
      </c>
      <c r="Z302" s="169">
        <f t="shared" si="71"/>
        <v>0</v>
      </c>
      <c r="AA302" s="274">
        <f t="shared" si="72"/>
        <v>0</v>
      </c>
      <c r="AB302" s="169">
        <f t="shared" si="80"/>
        <v>0</v>
      </c>
      <c r="AC302" s="274">
        <f t="shared" si="73"/>
        <v>0</v>
      </c>
      <c r="AD302" s="169">
        <f t="shared" si="74"/>
        <v>0</v>
      </c>
      <c r="AE302" s="274">
        <f t="shared" si="75"/>
        <v>0</v>
      </c>
      <c r="AF302" s="169">
        <f t="shared" si="81"/>
        <v>0</v>
      </c>
      <c r="AG302" s="274">
        <f t="shared" si="76"/>
        <v>0</v>
      </c>
      <c r="AH302" s="169">
        <f t="shared" si="82"/>
        <v>0</v>
      </c>
      <c r="AI302" s="169"/>
      <c r="AJ302" s="169">
        <f t="shared" si="83"/>
        <v>0</v>
      </c>
      <c r="AK302" s="169">
        <f t="shared" si="84"/>
        <v>0</v>
      </c>
      <c r="AL302" s="169"/>
      <c r="AM302" s="169">
        <f>AK301*W301+AK302*W302</f>
        <v>0</v>
      </c>
      <c r="AN302" s="169">
        <f>(SUM(AD301:AG301)*W301+SUM(AD302:AG302)*W302)*12*VLOOKUP(C302,JNovergang,3,1)</f>
        <v>0</v>
      </c>
      <c r="AO302" s="169">
        <f>AM302-AN302</f>
        <v>0</v>
      </c>
      <c r="AP302" s="169">
        <f>M302*(100+X302)%</f>
        <v>0</v>
      </c>
      <c r="AQ302" s="274">
        <f>ROUND(M302*F302,2)</f>
        <v>0</v>
      </c>
      <c r="AS302" s="274">
        <f>ROUND((AP302+AQ302)+AM302*(N302/12),0)</f>
        <v>0</v>
      </c>
      <c r="AT302" s="274">
        <f>ROUND(AM302*(O302/12),0)</f>
        <v>0</v>
      </c>
      <c r="AU302" s="274">
        <f>ROUND(AM302*(P302/12)*U302,0)</f>
        <v>0</v>
      </c>
      <c r="AW302" s="144">
        <f t="shared" si="85"/>
        <v>0</v>
      </c>
    </row>
    <row r="303" spans="1:49" x14ac:dyDescent="0.15">
      <c r="A303" s="173"/>
      <c r="B303" s="174"/>
      <c r="C303" s="174"/>
      <c r="D303" s="165" t="str">
        <f t="shared" si="86"/>
        <v xml:space="preserve"> </v>
      </c>
      <c r="E303" s="177"/>
      <c r="F303" s="287">
        <v>0</v>
      </c>
      <c r="G303" s="177">
        <v>37</v>
      </c>
      <c r="H303" s="177">
        <v>37</v>
      </c>
      <c r="I303" s="177"/>
      <c r="J303" s="179"/>
      <c r="K303" s="177"/>
      <c r="L303" s="179"/>
      <c r="M303" s="166"/>
      <c r="N303" s="166"/>
      <c r="O303" s="166"/>
      <c r="P303" s="166"/>
      <c r="Q303" s="167"/>
      <c r="R303" s="167"/>
      <c r="S303" s="168"/>
      <c r="V303" s="144">
        <f t="shared" si="77"/>
        <v>0</v>
      </c>
      <c r="W303" s="144">
        <f t="shared" si="78"/>
        <v>0</v>
      </c>
      <c r="X303" s="144">
        <f t="shared" si="69"/>
        <v>0</v>
      </c>
      <c r="Y303" s="144">
        <f t="shared" si="79"/>
        <v>34.464599999999997</v>
      </c>
      <c r="Z303" s="169">
        <f t="shared" si="71"/>
        <v>0</v>
      </c>
      <c r="AA303" s="274">
        <f t="shared" si="72"/>
        <v>0</v>
      </c>
      <c r="AB303" s="169">
        <f t="shared" si="80"/>
        <v>0</v>
      </c>
      <c r="AC303" s="274">
        <f t="shared" si="73"/>
        <v>0</v>
      </c>
      <c r="AD303" s="169">
        <f t="shared" si="74"/>
        <v>0</v>
      </c>
      <c r="AE303" s="274">
        <f t="shared" si="75"/>
        <v>0</v>
      </c>
      <c r="AF303" s="169">
        <f t="shared" si="81"/>
        <v>0</v>
      </c>
      <c r="AG303" s="274">
        <f t="shared" si="76"/>
        <v>0</v>
      </c>
      <c r="AH303" s="169">
        <f t="shared" si="82"/>
        <v>0</v>
      </c>
      <c r="AI303" s="169"/>
      <c r="AJ303" s="169">
        <f t="shared" si="83"/>
        <v>0</v>
      </c>
      <c r="AK303" s="169">
        <f t="shared" si="84"/>
        <v>0</v>
      </c>
      <c r="AL303" s="169"/>
      <c r="AM303" s="169"/>
      <c r="AN303" s="169"/>
      <c r="AQ303" s="169"/>
      <c r="AW303" s="144">
        <f t="shared" si="85"/>
        <v>0</v>
      </c>
    </row>
    <row r="304" spans="1:49" ht="9.75" thickBot="1" x14ac:dyDescent="0.2">
      <c r="A304" s="175"/>
      <c r="B304" s="176"/>
      <c r="C304" s="176"/>
      <c r="D304" s="170" t="str">
        <f t="shared" si="86"/>
        <v xml:space="preserve"> </v>
      </c>
      <c r="E304" s="178"/>
      <c r="F304" s="288">
        <v>0</v>
      </c>
      <c r="G304" s="178">
        <v>37</v>
      </c>
      <c r="H304" s="178">
        <v>37</v>
      </c>
      <c r="I304" s="178"/>
      <c r="J304" s="180"/>
      <c r="K304" s="178"/>
      <c r="L304" s="180"/>
      <c r="M304" s="180"/>
      <c r="N304" s="178"/>
      <c r="O304" s="178"/>
      <c r="P304" s="178"/>
      <c r="Q304" s="171">
        <f>AS304</f>
        <v>0</v>
      </c>
      <c r="R304" s="171">
        <f>AT304</f>
        <v>0</v>
      </c>
      <c r="S304" s="172">
        <f>AU304</f>
        <v>0</v>
      </c>
      <c r="U304" s="144">
        <f>IF(OR(C303=5,C304=5),0,1)</f>
        <v>1</v>
      </c>
      <c r="V304" s="144">
        <f t="shared" si="77"/>
        <v>0</v>
      </c>
      <c r="W304" s="144">
        <f t="shared" si="78"/>
        <v>0</v>
      </c>
      <c r="X304" s="144">
        <f t="shared" si="69"/>
        <v>0</v>
      </c>
      <c r="Y304" s="144">
        <f t="shared" si="79"/>
        <v>34.464599999999997</v>
      </c>
      <c r="Z304" s="169">
        <f t="shared" si="71"/>
        <v>0</v>
      </c>
      <c r="AA304" s="274">
        <f t="shared" si="72"/>
        <v>0</v>
      </c>
      <c r="AB304" s="169">
        <f t="shared" si="80"/>
        <v>0</v>
      </c>
      <c r="AC304" s="274">
        <f t="shared" si="73"/>
        <v>0</v>
      </c>
      <c r="AD304" s="169">
        <f t="shared" si="74"/>
        <v>0</v>
      </c>
      <c r="AE304" s="274">
        <f t="shared" si="75"/>
        <v>0</v>
      </c>
      <c r="AF304" s="169">
        <f t="shared" si="81"/>
        <v>0</v>
      </c>
      <c r="AG304" s="274">
        <f t="shared" si="76"/>
        <v>0</v>
      </c>
      <c r="AH304" s="169">
        <f t="shared" si="82"/>
        <v>0</v>
      </c>
      <c r="AI304" s="169"/>
      <c r="AJ304" s="169">
        <f t="shared" si="83"/>
        <v>0</v>
      </c>
      <c r="AK304" s="169">
        <f t="shared" si="84"/>
        <v>0</v>
      </c>
      <c r="AL304" s="169"/>
      <c r="AM304" s="169">
        <f>AK303*W303+AK304*W304</f>
        <v>0</v>
      </c>
      <c r="AN304" s="169">
        <f>(SUM(AD303:AG303)*W303+SUM(AD304:AG304)*W304)*12*VLOOKUP(C304,JNovergang,3,1)</f>
        <v>0</v>
      </c>
      <c r="AO304" s="169">
        <f>AM304-AN304</f>
        <v>0</v>
      </c>
      <c r="AP304" s="169">
        <f>M304*(100+X304)%</f>
        <v>0</v>
      </c>
      <c r="AQ304" s="274">
        <f>ROUND(M304*F304,2)</f>
        <v>0</v>
      </c>
      <c r="AS304" s="274">
        <f>ROUND((AP304+AQ304)+AM304*(N304/12),0)</f>
        <v>0</v>
      </c>
      <c r="AT304" s="274">
        <f>ROUND(AM304*(O304/12),0)</f>
        <v>0</v>
      </c>
      <c r="AU304" s="274">
        <f>ROUND(AM304*(P304/12)*U304,0)</f>
        <v>0</v>
      </c>
      <c r="AW304" s="144">
        <f t="shared" si="85"/>
        <v>0</v>
      </c>
    </row>
    <row r="305" spans="1:49" x14ac:dyDescent="0.15">
      <c r="A305" s="173"/>
      <c r="B305" s="174"/>
      <c r="C305" s="174"/>
      <c r="D305" s="165" t="str">
        <f t="shared" si="86"/>
        <v xml:space="preserve"> </v>
      </c>
      <c r="E305" s="177"/>
      <c r="F305" s="287">
        <v>0</v>
      </c>
      <c r="G305" s="177">
        <v>37</v>
      </c>
      <c r="H305" s="177">
        <v>37</v>
      </c>
      <c r="I305" s="177"/>
      <c r="J305" s="179"/>
      <c r="K305" s="177"/>
      <c r="L305" s="179"/>
      <c r="M305" s="166"/>
      <c r="N305" s="166"/>
      <c r="O305" s="166"/>
      <c r="P305" s="166"/>
      <c r="Q305" s="167"/>
      <c r="R305" s="167"/>
      <c r="S305" s="168"/>
      <c r="V305" s="144">
        <f t="shared" si="77"/>
        <v>0</v>
      </c>
      <c r="W305" s="144">
        <f t="shared" si="78"/>
        <v>0</v>
      </c>
      <c r="X305" s="144">
        <f t="shared" si="69"/>
        <v>0</v>
      </c>
      <c r="Y305" s="144">
        <f t="shared" si="79"/>
        <v>34.464599999999997</v>
      </c>
      <c r="Z305" s="169">
        <f t="shared" si="71"/>
        <v>0</v>
      </c>
      <c r="AA305" s="274">
        <f t="shared" si="72"/>
        <v>0</v>
      </c>
      <c r="AB305" s="169">
        <f t="shared" si="80"/>
        <v>0</v>
      </c>
      <c r="AC305" s="274">
        <f t="shared" si="73"/>
        <v>0</v>
      </c>
      <c r="AD305" s="169">
        <f t="shared" si="74"/>
        <v>0</v>
      </c>
      <c r="AE305" s="274">
        <f t="shared" si="75"/>
        <v>0</v>
      </c>
      <c r="AF305" s="169">
        <f t="shared" si="81"/>
        <v>0</v>
      </c>
      <c r="AG305" s="274">
        <f t="shared" si="76"/>
        <v>0</v>
      </c>
      <c r="AH305" s="169">
        <f t="shared" si="82"/>
        <v>0</v>
      </c>
      <c r="AI305" s="169"/>
      <c r="AJ305" s="169">
        <f t="shared" si="83"/>
        <v>0</v>
      </c>
      <c r="AK305" s="169">
        <f t="shared" si="84"/>
        <v>0</v>
      </c>
      <c r="AL305" s="169"/>
      <c r="AM305" s="169"/>
      <c r="AN305" s="169"/>
      <c r="AQ305" s="169"/>
      <c r="AW305" s="144">
        <f t="shared" si="85"/>
        <v>0</v>
      </c>
    </row>
    <row r="306" spans="1:49" ht="9.75" thickBot="1" x14ac:dyDescent="0.2">
      <c r="A306" s="175"/>
      <c r="B306" s="176"/>
      <c r="C306" s="176"/>
      <c r="D306" s="170" t="str">
        <f t="shared" si="86"/>
        <v xml:space="preserve"> </v>
      </c>
      <c r="E306" s="178"/>
      <c r="F306" s="288">
        <v>0</v>
      </c>
      <c r="G306" s="178">
        <v>37</v>
      </c>
      <c r="H306" s="178">
        <v>37</v>
      </c>
      <c r="I306" s="178"/>
      <c r="J306" s="180"/>
      <c r="K306" s="178"/>
      <c r="L306" s="180"/>
      <c r="M306" s="180"/>
      <c r="N306" s="178"/>
      <c r="O306" s="178"/>
      <c r="P306" s="178"/>
      <c r="Q306" s="171">
        <f>AS306</f>
        <v>0</v>
      </c>
      <c r="R306" s="171">
        <f>AT306</f>
        <v>0</v>
      </c>
      <c r="S306" s="172">
        <f>AU306</f>
        <v>0</v>
      </c>
      <c r="U306" s="144">
        <f>IF(OR(C305=5,C306=5),0,1)</f>
        <v>1</v>
      </c>
      <c r="V306" s="144">
        <f t="shared" si="77"/>
        <v>0</v>
      </c>
      <c r="W306" s="144">
        <f t="shared" si="78"/>
        <v>0</v>
      </c>
      <c r="X306" s="144">
        <f t="shared" si="69"/>
        <v>0</v>
      </c>
      <c r="Y306" s="144">
        <f t="shared" si="79"/>
        <v>34.464599999999997</v>
      </c>
      <c r="Z306" s="169">
        <f t="shared" si="71"/>
        <v>0</v>
      </c>
      <c r="AA306" s="274">
        <f t="shared" si="72"/>
        <v>0</v>
      </c>
      <c r="AB306" s="169">
        <f t="shared" si="80"/>
        <v>0</v>
      </c>
      <c r="AC306" s="274">
        <f t="shared" si="73"/>
        <v>0</v>
      </c>
      <c r="AD306" s="169">
        <f t="shared" si="74"/>
        <v>0</v>
      </c>
      <c r="AE306" s="274">
        <f t="shared" si="75"/>
        <v>0</v>
      </c>
      <c r="AF306" s="169">
        <f t="shared" si="81"/>
        <v>0</v>
      </c>
      <c r="AG306" s="274">
        <f t="shared" si="76"/>
        <v>0</v>
      </c>
      <c r="AH306" s="169">
        <f t="shared" si="82"/>
        <v>0</v>
      </c>
      <c r="AI306" s="169"/>
      <c r="AJ306" s="169">
        <f t="shared" si="83"/>
        <v>0</v>
      </c>
      <c r="AK306" s="169">
        <f t="shared" si="84"/>
        <v>0</v>
      </c>
      <c r="AL306" s="169"/>
      <c r="AM306" s="169">
        <f>AK305*W305+AK306*W306</f>
        <v>0</v>
      </c>
      <c r="AN306" s="169">
        <f>(SUM(AD305:AG305)*W305+SUM(AD306:AG306)*W306)*12*VLOOKUP(C306,JNovergang,3,1)</f>
        <v>0</v>
      </c>
      <c r="AO306" s="169">
        <f>AM306-AN306</f>
        <v>0</v>
      </c>
      <c r="AP306" s="169">
        <f>M306*(100+X306)%</f>
        <v>0</v>
      </c>
      <c r="AQ306" s="274">
        <f>ROUND(M306*F306,2)</f>
        <v>0</v>
      </c>
      <c r="AS306" s="274">
        <f>ROUND((AP306+AQ306)+AM306*(N306/12),0)</f>
        <v>0</v>
      </c>
      <c r="AT306" s="274">
        <f>ROUND(AM306*(O306/12),0)</f>
        <v>0</v>
      </c>
      <c r="AU306" s="274">
        <f>ROUND(AM306*(P306/12)*U306,0)</f>
        <v>0</v>
      </c>
      <c r="AW306" s="144">
        <f t="shared" si="85"/>
        <v>0</v>
      </c>
    </row>
    <row r="307" spans="1:49" x14ac:dyDescent="0.15">
      <c r="A307" s="173"/>
      <c r="B307" s="174"/>
      <c r="C307" s="174"/>
      <c r="D307" s="165" t="str">
        <f t="shared" si="86"/>
        <v xml:space="preserve"> </v>
      </c>
      <c r="E307" s="177"/>
      <c r="F307" s="287">
        <v>0</v>
      </c>
      <c r="G307" s="177">
        <v>37</v>
      </c>
      <c r="H307" s="177">
        <v>37</v>
      </c>
      <c r="I307" s="177"/>
      <c r="J307" s="179"/>
      <c r="K307" s="177"/>
      <c r="L307" s="179"/>
      <c r="M307" s="166"/>
      <c r="N307" s="166"/>
      <c r="O307" s="166"/>
      <c r="P307" s="166"/>
      <c r="Q307" s="167"/>
      <c r="R307" s="167"/>
      <c r="S307" s="168"/>
      <c r="V307" s="144">
        <f t="shared" si="77"/>
        <v>0</v>
      </c>
      <c r="W307" s="144">
        <f t="shared" si="78"/>
        <v>0</v>
      </c>
      <c r="X307" s="144">
        <f>VLOOKUP(C307,JNferiepenge,3,1)</f>
        <v>0</v>
      </c>
      <c r="Y307" s="144">
        <f t="shared" si="79"/>
        <v>34.464599999999997</v>
      </c>
      <c r="Z307" s="169">
        <f t="shared" si="71"/>
        <v>0</v>
      </c>
      <c r="AA307" s="274">
        <f t="shared" si="72"/>
        <v>0</v>
      </c>
      <c r="AB307" s="169">
        <f t="shared" si="80"/>
        <v>0</v>
      </c>
      <c r="AC307" s="274">
        <f t="shared" si="73"/>
        <v>0</v>
      </c>
      <c r="AD307" s="169">
        <f t="shared" si="74"/>
        <v>0</v>
      </c>
      <c r="AE307" s="274">
        <f t="shared" si="75"/>
        <v>0</v>
      </c>
      <c r="AF307" s="169">
        <f t="shared" si="81"/>
        <v>0</v>
      </c>
      <c r="AG307" s="274">
        <f t="shared" si="76"/>
        <v>0</v>
      </c>
      <c r="AH307" s="169">
        <f t="shared" si="82"/>
        <v>0</v>
      </c>
      <c r="AI307" s="169"/>
      <c r="AJ307" s="169">
        <f t="shared" si="83"/>
        <v>0</v>
      </c>
      <c r="AK307" s="169">
        <f t="shared" si="84"/>
        <v>0</v>
      </c>
      <c r="AL307" s="169"/>
      <c r="AM307" s="169"/>
      <c r="AN307" s="169"/>
      <c r="AQ307" s="169"/>
      <c r="AW307" s="144">
        <f t="shared" si="85"/>
        <v>0</v>
      </c>
    </row>
    <row r="308" spans="1:49" ht="9.75" thickBot="1" x14ac:dyDescent="0.2">
      <c r="A308" s="175"/>
      <c r="B308" s="176"/>
      <c r="C308" s="176"/>
      <c r="D308" s="170" t="str">
        <f t="shared" si="86"/>
        <v xml:space="preserve"> </v>
      </c>
      <c r="E308" s="178"/>
      <c r="F308" s="288">
        <v>0</v>
      </c>
      <c r="G308" s="178">
        <v>37</v>
      </c>
      <c r="H308" s="178">
        <v>37</v>
      </c>
      <c r="I308" s="178"/>
      <c r="J308" s="180"/>
      <c r="K308" s="178"/>
      <c r="L308" s="180"/>
      <c r="M308" s="180"/>
      <c r="N308" s="178"/>
      <c r="O308" s="178"/>
      <c r="P308" s="178"/>
      <c r="Q308" s="171">
        <f>AS308</f>
        <v>0</v>
      </c>
      <c r="R308" s="171">
        <f>AT308</f>
        <v>0</v>
      </c>
      <c r="S308" s="172">
        <f>AU308</f>
        <v>0</v>
      </c>
      <c r="U308" s="144">
        <f>IF(OR(C307=5,C308=5),0,1)</f>
        <v>1</v>
      </c>
      <c r="V308" s="144">
        <f t="shared" si="77"/>
        <v>0</v>
      </c>
      <c r="W308" s="144">
        <f t="shared" si="78"/>
        <v>0</v>
      </c>
      <c r="X308" s="144">
        <f>VLOOKUP(C308,JNferiepenge,3,1)</f>
        <v>0</v>
      </c>
      <c r="Y308" s="144">
        <f t="shared" si="79"/>
        <v>34.464599999999997</v>
      </c>
      <c r="Z308" s="169">
        <f t="shared" si="71"/>
        <v>0</v>
      </c>
      <c r="AA308" s="274">
        <f t="shared" si="72"/>
        <v>0</v>
      </c>
      <c r="AB308" s="169">
        <f t="shared" si="80"/>
        <v>0</v>
      </c>
      <c r="AC308" s="274">
        <f t="shared" si="73"/>
        <v>0</v>
      </c>
      <c r="AD308" s="169">
        <f t="shared" si="74"/>
        <v>0</v>
      </c>
      <c r="AE308" s="274">
        <f t="shared" si="75"/>
        <v>0</v>
      </c>
      <c r="AF308" s="169">
        <f t="shared" si="81"/>
        <v>0</v>
      </c>
      <c r="AG308" s="274">
        <f t="shared" si="76"/>
        <v>0</v>
      </c>
      <c r="AH308" s="169">
        <f t="shared" si="82"/>
        <v>0</v>
      </c>
      <c r="AI308" s="169"/>
      <c r="AJ308" s="169">
        <f t="shared" si="83"/>
        <v>0</v>
      </c>
      <c r="AK308" s="169">
        <f t="shared" si="84"/>
        <v>0</v>
      </c>
      <c r="AL308" s="169"/>
      <c r="AM308" s="169">
        <f>AK307*W307+AK308*W308</f>
        <v>0</v>
      </c>
      <c r="AN308" s="169">
        <f>(SUM(AD307:AG307)*W307+SUM(AD308:AG308)*W308)*12*VLOOKUP(C308,JNovergang,3,1)</f>
        <v>0</v>
      </c>
      <c r="AO308" s="169">
        <f>AM308-AN308</f>
        <v>0</v>
      </c>
      <c r="AP308" s="169">
        <f>M308*(100+X308)%</f>
        <v>0</v>
      </c>
      <c r="AQ308" s="274">
        <f>ROUND(M308*F308,2)</f>
        <v>0</v>
      </c>
      <c r="AS308" s="274">
        <f>ROUND((AP308+AQ308)+AM308*(N308/12),0)</f>
        <v>0</v>
      </c>
      <c r="AT308" s="274">
        <f>ROUND(AM308*(O308/12),0)</f>
        <v>0</v>
      </c>
      <c r="AU308" s="274">
        <f>ROUND(AM308*(P308/12)*U308,0)</f>
        <v>0</v>
      </c>
      <c r="AW308" s="144">
        <f t="shared" si="85"/>
        <v>0</v>
      </c>
    </row>
  </sheetData>
  <sheetProtection password="CF28" sheet="1"/>
  <customSheetViews>
    <customSheetView guid="{40555330-83BF-42FA-97D0-8A355A41C0A0}" hiddenColumns="1" state="hidden">
      <pane xSplit="2" ySplit="20" topLeftCell="C21" activePane="bottomRight" state="frozen"/>
      <selection pane="bottomRight" activeCell="R1" sqref="R1:S1"/>
      <pageMargins left="0.31496062992125984" right="0.31496062992125984" top="0.43307086614173229" bottom="0.39370078740157483" header="0" footer="0.19685039370078741"/>
      <pageSetup paperSize="9" orientation="landscape" blackAndWhite="1" r:id="rId1"/>
      <headerFooter alignWithMargins="0">
        <oddFooter>&amp;CSide &amp;P af  &amp;N</oddFooter>
      </headerFooter>
    </customSheetView>
  </customSheetViews>
  <mergeCells count="2">
    <mergeCell ref="R1:S1"/>
    <mergeCell ref="AS16:AU16"/>
  </mergeCells>
  <phoneticPr fontId="0" type="noConversion"/>
  <pageMargins left="0.31496062992125984" right="0.31496062992125984" top="0.43307086614173229" bottom="0.39370078740157483" header="0" footer="0.19685039370078741"/>
  <pageSetup paperSize="9" orientation="landscape" blackAndWhite="1" r:id="rId2"/>
  <headerFooter alignWithMargins="0">
    <oddFooter>&amp;CSide &amp;P af 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AO139"/>
  <sheetViews>
    <sheetView view="pageBreakPreview" topLeftCell="A4" zoomScale="130" zoomScaleNormal="85" zoomScaleSheetLayoutView="130" zoomScalePageLayoutView="115" workbookViewId="0">
      <selection activeCell="M40" sqref="M40"/>
    </sheetView>
  </sheetViews>
  <sheetFormatPr defaultRowHeight="12.75" x14ac:dyDescent="0.2"/>
  <cols>
    <col min="1" max="1" width="2.5" style="304" customWidth="1"/>
    <col min="2" max="2" width="0.83203125" style="304" customWidth="1"/>
    <col min="3" max="3" width="2.1640625" style="304" customWidth="1"/>
    <col min="4" max="4" width="8.33203125" style="304" customWidth="1"/>
    <col min="5" max="7" width="4.5" style="304" customWidth="1"/>
    <col min="8" max="8" width="7" style="304" customWidth="1"/>
    <col min="9" max="9" width="9.1640625" style="304" customWidth="1"/>
    <col min="10" max="10" width="5" style="333" customWidth="1"/>
    <col min="11" max="11" width="1.33203125" style="333" customWidth="1"/>
    <col min="12" max="12" width="12.5" style="304" customWidth="1"/>
    <col min="13" max="13" width="14" style="304" customWidth="1"/>
    <col min="14" max="14" width="1.33203125" style="304" customWidth="1"/>
    <col min="15" max="15" width="3" style="304" customWidth="1"/>
    <col min="16" max="17" width="2.83203125" style="304" hidden="1" customWidth="1"/>
    <col min="18" max="18" width="1.83203125" style="304" customWidth="1"/>
    <col min="19" max="20" width="3.1640625" style="304" customWidth="1"/>
    <col min="21" max="21" width="2.6640625" style="304" customWidth="1"/>
    <col min="22" max="22" width="2.5" style="304" customWidth="1"/>
    <col min="23" max="23" width="3.1640625" style="304" customWidth="1"/>
    <col min="24" max="24" width="4.1640625" style="304" customWidth="1"/>
    <col min="25" max="25" width="2.6640625" style="304" customWidth="1"/>
    <col min="26" max="27" width="2.5" style="304" customWidth="1"/>
    <col min="28" max="29" width="3.1640625" style="304" customWidth="1"/>
    <col min="30" max="30" width="2" style="304" customWidth="1"/>
    <col min="31" max="31" width="1.83203125" style="304" customWidth="1"/>
    <col min="32" max="32" width="1.83203125" style="304" hidden="1" customWidth="1"/>
    <col min="33" max="33" width="27.33203125" style="474" hidden="1" customWidth="1"/>
    <col min="34" max="34" width="3.6640625" style="304" hidden="1" customWidth="1"/>
    <col min="35" max="35" width="9.6640625" style="474" hidden="1" customWidth="1"/>
    <col min="36" max="36" width="71" style="474" hidden="1" customWidth="1"/>
    <col min="37" max="38" width="9.33203125" style="304" hidden="1" customWidth="1"/>
    <col min="39" max="82" width="0" style="304" hidden="1" customWidth="1"/>
    <col min="83" max="16384" width="9.33203125" style="304"/>
  </cols>
  <sheetData>
    <row r="1" spans="1:41" ht="7.5" customHeight="1" x14ac:dyDescent="0.25">
      <c r="A1" s="303"/>
      <c r="B1" s="303"/>
      <c r="L1" s="305"/>
      <c r="M1" s="305"/>
      <c r="N1" s="305"/>
      <c r="O1" s="305"/>
      <c r="P1" s="305"/>
      <c r="Q1" s="305"/>
      <c r="S1" s="740" t="s">
        <v>732</v>
      </c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505"/>
      <c r="AF1" s="371"/>
      <c r="AG1" s="472"/>
      <c r="AH1" s="371"/>
      <c r="AI1" s="490"/>
      <c r="AJ1" s="490"/>
      <c r="AK1" s="371"/>
      <c r="AL1" s="371"/>
      <c r="AM1" s="371"/>
      <c r="AN1" s="371"/>
      <c r="AO1" s="371"/>
    </row>
    <row r="2" spans="1:41" ht="19.5" customHeight="1" x14ac:dyDescent="0.35">
      <c r="A2" s="365"/>
      <c r="B2" s="735" t="s">
        <v>432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587"/>
      <c r="O2" s="587"/>
      <c r="P2" s="587"/>
      <c r="Q2" s="587"/>
      <c r="R2" s="429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505"/>
      <c r="AF2" s="367"/>
      <c r="AG2" s="471" t="s">
        <v>439</v>
      </c>
      <c r="AH2" s="367"/>
      <c r="AI2" s="490"/>
      <c r="AJ2" s="491"/>
      <c r="AK2" s="367"/>
      <c r="AL2" s="367"/>
    </row>
    <row r="3" spans="1:41" ht="13.5" customHeight="1" x14ac:dyDescent="0.25">
      <c r="A3" s="742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585"/>
      <c r="O3" s="585"/>
      <c r="P3" s="585"/>
      <c r="Q3" s="585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F3" s="367"/>
      <c r="AH3" s="367"/>
      <c r="AI3" s="491"/>
      <c r="AJ3" s="491"/>
      <c r="AK3" s="367"/>
      <c r="AL3" s="367"/>
    </row>
    <row r="4" spans="1:41" ht="12.75" customHeight="1" x14ac:dyDescent="0.25">
      <c r="A4" s="317"/>
      <c r="B4" s="358" t="s">
        <v>66</v>
      </c>
      <c r="C4" s="310"/>
      <c r="D4" s="310"/>
      <c r="E4" s="310"/>
      <c r="F4" s="310"/>
      <c r="G4" s="310"/>
      <c r="H4" s="318"/>
      <c r="I4" s="675"/>
      <c r="J4" s="676"/>
      <c r="K4" s="676"/>
      <c r="L4" s="676"/>
      <c r="M4" s="677"/>
      <c r="N4" s="585"/>
      <c r="O4" s="585"/>
      <c r="P4" s="585"/>
      <c r="Q4" s="585"/>
      <c r="S4" s="379"/>
      <c r="T4" s="380" t="s">
        <v>433</v>
      </c>
      <c r="U4" s="380"/>
      <c r="V4" s="306"/>
      <c r="W4" s="306"/>
      <c r="X4" s="306"/>
      <c r="Y4" s="692"/>
      <c r="Z4" s="693"/>
      <c r="AA4" s="693"/>
      <c r="AB4" s="693"/>
      <c r="AC4" s="694"/>
      <c r="AD4" s="332"/>
      <c r="AF4" s="367"/>
      <c r="AG4" s="778" t="s">
        <v>440</v>
      </c>
      <c r="AH4" s="367"/>
      <c r="AI4" s="777" t="e">
        <f>+VLOOKUP(Y14,Vejledning!A:AV,2,1)</f>
        <v>#N/A</v>
      </c>
      <c r="AJ4" s="777"/>
      <c r="AK4" s="367"/>
      <c r="AL4" s="367"/>
    </row>
    <row r="5" spans="1:41" ht="12.75" customHeight="1" x14ac:dyDescent="0.25">
      <c r="A5" s="317"/>
      <c r="B5" s="358" t="s">
        <v>88</v>
      </c>
      <c r="C5" s="310"/>
      <c r="D5" s="310"/>
      <c r="E5" s="310"/>
      <c r="F5" s="310"/>
      <c r="G5" s="310"/>
      <c r="H5" s="318"/>
      <c r="I5" s="675"/>
      <c r="J5" s="676"/>
      <c r="K5" s="676"/>
      <c r="L5" s="676"/>
      <c r="M5" s="677"/>
      <c r="N5" s="585"/>
      <c r="O5" s="585"/>
      <c r="P5" s="585"/>
      <c r="Q5" s="585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F5" s="367"/>
      <c r="AG5" s="778"/>
      <c r="AH5" s="367"/>
      <c r="AI5" s="777"/>
      <c r="AJ5" s="777"/>
      <c r="AK5" s="367"/>
      <c r="AL5" s="367"/>
    </row>
    <row r="6" spans="1:41" ht="12.75" customHeight="1" x14ac:dyDescent="0.25">
      <c r="A6" s="317"/>
      <c r="B6" s="358" t="s">
        <v>89</v>
      </c>
      <c r="C6" s="310"/>
      <c r="D6" s="310"/>
      <c r="E6" s="310"/>
      <c r="F6" s="310"/>
      <c r="G6" s="310"/>
      <c r="H6" s="318"/>
      <c r="I6" s="675"/>
      <c r="J6" s="676"/>
      <c r="K6" s="676"/>
      <c r="L6" s="676"/>
      <c r="M6" s="677"/>
      <c r="N6" s="585"/>
      <c r="O6" s="585"/>
      <c r="P6" s="585"/>
      <c r="Q6" s="585"/>
      <c r="S6" s="379"/>
      <c r="T6" s="431"/>
      <c r="U6" s="306"/>
      <c r="V6" s="724" t="s">
        <v>434</v>
      </c>
      <c r="W6" s="724"/>
      <c r="X6" s="724"/>
      <c r="Y6" s="724"/>
      <c r="Z6" s="724"/>
      <c r="AA6" s="724"/>
      <c r="AB6" s="724"/>
      <c r="AC6" s="724"/>
      <c r="AD6" s="392"/>
      <c r="AF6" s="367"/>
      <c r="AH6" s="367"/>
      <c r="AI6" s="777"/>
      <c r="AJ6" s="777"/>
      <c r="AK6" s="367"/>
      <c r="AL6" s="367"/>
    </row>
    <row r="7" spans="1:41" ht="12.75" customHeight="1" x14ac:dyDescent="0.25">
      <c r="A7" s="317"/>
      <c r="B7" s="358" t="s">
        <v>409</v>
      </c>
      <c r="C7" s="310"/>
      <c r="D7" s="310"/>
      <c r="E7" s="310"/>
      <c r="F7" s="310"/>
      <c r="G7" s="310"/>
      <c r="H7" s="318"/>
      <c r="I7" s="324">
        <v>37</v>
      </c>
      <c r="J7" s="355"/>
      <c r="K7" s="424"/>
      <c r="L7" s="414" t="s">
        <v>410</v>
      </c>
      <c r="M7" s="570">
        <v>37</v>
      </c>
      <c r="N7" s="585"/>
      <c r="O7" s="585"/>
      <c r="P7" s="585"/>
      <c r="Q7" s="585"/>
      <c r="R7" s="356">
        <f>I7/MAX(M7,1)</f>
        <v>1</v>
      </c>
      <c r="S7" s="379"/>
      <c r="T7" s="357"/>
      <c r="U7" s="357"/>
      <c r="V7" s="758" t="s">
        <v>435</v>
      </c>
      <c r="W7" s="758"/>
      <c r="X7" s="758"/>
      <c r="Y7" s="758"/>
      <c r="Z7" s="758"/>
      <c r="AA7" s="758"/>
      <c r="AB7" s="758"/>
      <c r="AC7" s="758"/>
      <c r="AD7" s="381"/>
      <c r="AF7" s="367"/>
      <c r="AG7" s="778" t="s">
        <v>441</v>
      </c>
      <c r="AH7" s="367"/>
      <c r="AI7" s="760" t="e">
        <f>+VLOOKUP(Y14,Vejledning!A:AV,3,1)</f>
        <v>#N/A</v>
      </c>
      <c r="AJ7" s="760"/>
      <c r="AK7" s="367"/>
      <c r="AL7" s="367"/>
    </row>
    <row r="8" spans="1:41" ht="6" customHeight="1" x14ac:dyDescent="0.25">
      <c r="A8" s="317"/>
      <c r="B8" s="358"/>
      <c r="C8" s="681" t="s">
        <v>771</v>
      </c>
      <c r="D8" s="681"/>
      <c r="E8" s="681"/>
      <c r="F8" s="681"/>
      <c r="G8" s="681"/>
      <c r="H8" s="743"/>
      <c r="I8" s="744"/>
      <c r="J8" s="745"/>
      <c r="K8" s="745"/>
      <c r="L8" s="745"/>
      <c r="M8" s="746"/>
      <c r="N8" s="585"/>
      <c r="O8" s="585"/>
      <c r="P8" s="585"/>
      <c r="Q8" s="585"/>
      <c r="R8" s="356"/>
      <c r="S8" s="379"/>
      <c r="T8" s="750"/>
      <c r="U8" s="357"/>
      <c r="V8" s="758"/>
      <c r="W8" s="758"/>
      <c r="X8" s="758"/>
      <c r="Y8" s="758"/>
      <c r="Z8" s="758"/>
      <c r="AA8" s="758"/>
      <c r="AB8" s="758"/>
      <c r="AC8" s="758"/>
      <c r="AD8" s="381"/>
      <c r="AF8" s="367"/>
      <c r="AG8" s="778"/>
      <c r="AH8" s="367"/>
      <c r="AI8" s="760"/>
      <c r="AJ8" s="760"/>
      <c r="AK8" s="367"/>
      <c r="AL8" s="367"/>
    </row>
    <row r="9" spans="1:41" ht="6.75" customHeight="1" x14ac:dyDescent="0.2">
      <c r="A9" s="317"/>
      <c r="B9" s="358" t="s">
        <v>233</v>
      </c>
      <c r="C9" s="681"/>
      <c r="D9" s="681"/>
      <c r="E9" s="681"/>
      <c r="F9" s="681"/>
      <c r="G9" s="681"/>
      <c r="H9" s="743"/>
      <c r="I9" s="747"/>
      <c r="J9" s="748"/>
      <c r="K9" s="748"/>
      <c r="L9" s="748"/>
      <c r="M9" s="749"/>
      <c r="N9" s="585"/>
      <c r="O9" s="585"/>
      <c r="P9" s="585"/>
      <c r="Q9" s="585"/>
      <c r="S9" s="379"/>
      <c r="T9" s="751"/>
      <c r="U9" s="306"/>
      <c r="V9" s="752" t="s">
        <v>444</v>
      </c>
      <c r="W9" s="752"/>
      <c r="X9" s="752"/>
      <c r="Y9" s="752"/>
      <c r="Z9" s="752"/>
      <c r="AA9" s="752"/>
      <c r="AB9" s="752"/>
      <c r="AC9" s="752"/>
      <c r="AD9" s="392"/>
      <c r="AF9" s="370"/>
      <c r="AG9" s="473"/>
      <c r="AH9" s="370"/>
      <c r="AI9" s="760"/>
      <c r="AJ9" s="760"/>
      <c r="AK9" s="370"/>
      <c r="AL9" s="370"/>
    </row>
    <row r="10" spans="1:41" ht="12.75" customHeight="1" x14ac:dyDescent="0.2">
      <c r="A10" s="317"/>
      <c r="B10" s="358" t="s">
        <v>92</v>
      </c>
      <c r="C10" s="310" t="s">
        <v>772</v>
      </c>
      <c r="D10" s="310"/>
      <c r="E10" s="310"/>
      <c r="F10" s="310"/>
      <c r="G10" s="310"/>
      <c r="H10" s="318"/>
      <c r="I10" s="695"/>
      <c r="J10" s="696"/>
      <c r="K10" s="696"/>
      <c r="L10" s="697"/>
      <c r="M10" s="326"/>
      <c r="N10" s="335"/>
      <c r="O10" s="729" t="s">
        <v>775</v>
      </c>
      <c r="P10" s="335"/>
      <c r="Q10" s="335"/>
      <c r="S10" s="379"/>
      <c r="T10" s="357"/>
      <c r="U10" s="357"/>
      <c r="V10" s="752"/>
      <c r="W10" s="752"/>
      <c r="X10" s="752"/>
      <c r="Y10" s="752"/>
      <c r="Z10" s="752"/>
      <c r="AA10" s="752"/>
      <c r="AB10" s="752"/>
      <c r="AC10" s="752"/>
      <c r="AD10" s="381"/>
      <c r="AF10" s="370"/>
      <c r="AG10" s="473"/>
      <c r="AH10" s="370"/>
      <c r="AI10" s="368"/>
      <c r="AJ10" s="368"/>
      <c r="AK10" s="370"/>
      <c r="AL10" s="370"/>
    </row>
    <row r="11" spans="1:41" ht="13.5" customHeight="1" x14ac:dyDescent="0.25">
      <c r="A11" s="317"/>
      <c r="B11" s="359"/>
      <c r="C11" s="314"/>
      <c r="D11" s="314"/>
      <c r="E11" s="314"/>
      <c r="F11" s="314"/>
      <c r="G11" s="314"/>
      <c r="H11" s="314"/>
      <c r="I11" s="502">
        <f>+IF(+Y14=7101,4,+IF(+Y14=7001,3,+IF(+Y14=3101,1,0)))</f>
        <v>0</v>
      </c>
      <c r="J11" s="577"/>
      <c r="K11" s="577"/>
      <c r="L11" s="578">
        <f>+IF(+I11=0,4,+(IF(+I11=1,7,+IF(+I11=3,14,+IF(+I11=4,18,4)))))</f>
        <v>4</v>
      </c>
      <c r="M11" s="579">
        <f>+IF(+I11=0,2,+(IF(+I11=1,6,+IF(+I11=3,12,+IF(+I11=4,16,2)))))</f>
        <v>2</v>
      </c>
      <c r="N11" s="579"/>
      <c r="O11" s="759"/>
      <c r="P11" s="579"/>
      <c r="Q11" s="579"/>
      <c r="S11" s="379"/>
      <c r="T11" s="431"/>
      <c r="U11" s="306"/>
      <c r="V11" s="721" t="s">
        <v>443</v>
      </c>
      <c r="W11" s="721"/>
      <c r="X11" s="721"/>
      <c r="Y11" s="721"/>
      <c r="Z11" s="721"/>
      <c r="AA11" s="721"/>
      <c r="AB11" s="721"/>
      <c r="AC11" s="721"/>
      <c r="AD11" s="392"/>
      <c r="AE11" s="325"/>
      <c r="AF11" s="370"/>
      <c r="AG11" s="473" t="e">
        <f>+VLOOKUP(Y14,Vejledning!A:D,4,1)</f>
        <v>#N/A</v>
      </c>
      <c r="AH11" s="370"/>
      <c r="AI11" s="475" t="e">
        <f>+VLOOKUP(Y14,Vejledning!A:AV,5,1)</f>
        <v>#N/A</v>
      </c>
      <c r="AJ11" s="352"/>
      <c r="AK11" s="370"/>
      <c r="AL11" s="370"/>
    </row>
    <row r="12" spans="1:41" ht="12.75" customHeight="1" x14ac:dyDescent="0.25">
      <c r="A12" s="317"/>
      <c r="B12" s="359" t="s">
        <v>270</v>
      </c>
      <c r="C12" s="314"/>
      <c r="D12" s="314"/>
      <c r="E12" s="314"/>
      <c r="F12" s="314"/>
      <c r="G12" s="314"/>
      <c r="H12" s="315"/>
      <c r="I12" s="324"/>
      <c r="J12" s="339" t="s">
        <v>389</v>
      </c>
      <c r="K12" s="753" t="s">
        <v>400</v>
      </c>
      <c r="L12" s="753"/>
      <c r="M12" s="347">
        <f>VLOOKUP(LønkodeNyLøn,TabelPctReg,2)</f>
        <v>34.464599999999997</v>
      </c>
      <c r="N12" s="347"/>
      <c r="O12" s="759"/>
      <c r="P12" s="347"/>
      <c r="Q12" s="347"/>
      <c r="S12" s="379"/>
      <c r="T12" s="306"/>
      <c r="U12" s="357"/>
      <c r="V12" s="721"/>
      <c r="W12" s="721"/>
      <c r="X12" s="373"/>
      <c r="Y12" s="692"/>
      <c r="Z12" s="693"/>
      <c r="AA12" s="693"/>
      <c r="AB12" s="693"/>
      <c r="AC12" s="694"/>
      <c r="AD12" s="409"/>
      <c r="AF12" s="367"/>
      <c r="AH12" s="367"/>
      <c r="AI12" s="475"/>
      <c r="AJ12" s="475"/>
      <c r="AK12" s="367"/>
      <c r="AL12" s="367"/>
    </row>
    <row r="13" spans="1:41" ht="12.75" customHeight="1" x14ac:dyDescent="0.25">
      <c r="A13" s="306"/>
      <c r="C13" s="304" t="s">
        <v>448</v>
      </c>
      <c r="K13" s="331"/>
      <c r="O13" s="759"/>
      <c r="S13" s="382"/>
      <c r="T13" s="366"/>
      <c r="U13" s="366"/>
      <c r="V13" s="357"/>
      <c r="W13" s="357"/>
      <c r="X13" s="357"/>
      <c r="Y13" s="357"/>
      <c r="Z13" s="357"/>
      <c r="AA13" s="357"/>
      <c r="AB13" s="357"/>
      <c r="AC13" s="357"/>
      <c r="AD13" s="383"/>
      <c r="AF13" s="367"/>
      <c r="AG13" s="474" t="e">
        <f>+VLOOKUP(Y14,Vejledning!A:AP,6,1)</f>
        <v>#N/A</v>
      </c>
      <c r="AH13" s="367"/>
      <c r="AI13" s="475" t="e">
        <f>+VLOOKUP(Y14,Vejledning!A:AV,7,1)</f>
        <v>#N/A</v>
      </c>
      <c r="AJ13" s="475"/>
      <c r="AK13" s="367"/>
      <c r="AL13" s="367"/>
    </row>
    <row r="14" spans="1:41" ht="11.25" customHeight="1" x14ac:dyDescent="0.25">
      <c r="A14" s="307"/>
      <c r="B14" s="307"/>
      <c r="C14" s="433" t="s">
        <v>447</v>
      </c>
      <c r="D14" s="432"/>
      <c r="E14" s="432"/>
      <c r="F14" s="432"/>
      <c r="G14" s="432"/>
      <c r="H14" s="432"/>
      <c r="I14" s="337" t="s">
        <v>162</v>
      </c>
      <c r="J14" s="337" t="s">
        <v>21</v>
      </c>
      <c r="K14" s="337"/>
      <c r="L14" s="337" t="s">
        <v>234</v>
      </c>
      <c r="M14" s="350" t="s">
        <v>235</v>
      </c>
      <c r="N14" s="350"/>
      <c r="O14" s="759"/>
      <c r="P14" s="350"/>
      <c r="Q14" s="350"/>
      <c r="R14" s="308"/>
      <c r="S14" s="382"/>
      <c r="T14" s="497" t="s">
        <v>408</v>
      </c>
      <c r="U14" s="349"/>
      <c r="V14" s="348"/>
      <c r="W14" s="348"/>
      <c r="X14" s="348"/>
      <c r="Y14" s="736"/>
      <c r="Z14" s="737"/>
      <c r="AA14" s="737"/>
      <c r="AB14" s="737"/>
      <c r="AC14" s="738"/>
      <c r="AD14" s="383"/>
      <c r="AF14" s="368"/>
      <c r="AG14" s="473"/>
      <c r="AH14" s="368"/>
      <c r="AI14" s="473"/>
      <c r="AJ14" s="473"/>
      <c r="AK14" s="368"/>
      <c r="AL14" s="368"/>
    </row>
    <row r="15" spans="1:41" ht="11.25" customHeight="1" x14ac:dyDescent="0.2">
      <c r="A15" s="309"/>
      <c r="B15" s="309"/>
      <c r="C15" s="309"/>
      <c r="D15" s="309"/>
      <c r="E15" s="309"/>
      <c r="F15" s="309"/>
      <c r="G15" s="309"/>
      <c r="H15" s="309"/>
      <c r="I15" s="337" t="s">
        <v>163</v>
      </c>
      <c r="J15" s="337" t="s">
        <v>123</v>
      </c>
      <c r="K15" s="337"/>
      <c r="L15" s="428">
        <f>Dato1-0</f>
        <v>42736</v>
      </c>
      <c r="M15" s="351">
        <f>Dato1-0</f>
        <v>42736</v>
      </c>
      <c r="N15" s="351"/>
      <c r="O15" s="759"/>
      <c r="P15" s="351"/>
      <c r="Q15" s="351"/>
      <c r="R15" s="308"/>
      <c r="S15" s="379"/>
      <c r="T15" s="761" t="e">
        <f>+VLOOKUP(Y14,Vejledning!1:1048576,2,1)</f>
        <v>#N/A</v>
      </c>
      <c r="U15" s="761"/>
      <c r="V15" s="761"/>
      <c r="W15" s="761"/>
      <c r="X15" s="761"/>
      <c r="Y15" s="761"/>
      <c r="Z15" s="761"/>
      <c r="AA15" s="761"/>
      <c r="AB15" s="761"/>
      <c r="AC15" s="761"/>
      <c r="AD15" s="384"/>
      <c r="AF15" s="368"/>
      <c r="AG15" s="473" t="e">
        <f>+VLOOKUP(Y14,Vejledning!A:AP,8,1)</f>
        <v>#N/A</v>
      </c>
      <c r="AH15" s="368"/>
      <c r="AI15" s="475" t="e">
        <f>+VLOOKUP(Y14,Vejledning!A:AV,9,1)</f>
        <v>#N/A</v>
      </c>
      <c r="AJ15" s="475"/>
      <c r="AK15" s="368"/>
      <c r="AL15" s="368"/>
    </row>
    <row r="16" spans="1:41" ht="11.25" customHeight="1" x14ac:dyDescent="0.2">
      <c r="A16" s="310"/>
      <c r="B16" s="306"/>
      <c r="C16" s="306"/>
      <c r="D16" s="306"/>
      <c r="E16" s="306"/>
      <c r="F16" s="306"/>
      <c r="G16" s="306"/>
      <c r="H16" s="306"/>
      <c r="I16" s="338">
        <f>VLOOKUP(LønkodeNyLøn,TabelPctReg,3)</f>
        <v>36616</v>
      </c>
      <c r="J16" s="337"/>
      <c r="K16" s="337"/>
      <c r="L16" s="428" t="s">
        <v>399</v>
      </c>
      <c r="M16" s="351" t="s">
        <v>399</v>
      </c>
      <c r="N16" s="351"/>
      <c r="O16" s="759"/>
      <c r="P16" s="351"/>
      <c r="Q16" s="351"/>
      <c r="R16" s="311"/>
      <c r="S16" s="385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390"/>
      <c r="AF16" s="368"/>
      <c r="AG16" s="473"/>
      <c r="AH16" s="368"/>
      <c r="AI16" s="475"/>
      <c r="AJ16" s="475"/>
      <c r="AK16" s="368"/>
      <c r="AL16" s="368"/>
    </row>
    <row r="17" spans="1:38" ht="6.75" customHeight="1" x14ac:dyDescent="0.25">
      <c r="A17" s="310"/>
      <c r="B17" s="306"/>
      <c r="C17" s="306"/>
      <c r="D17" s="306"/>
      <c r="E17" s="306"/>
      <c r="F17" s="306"/>
      <c r="G17" s="306"/>
      <c r="H17" s="306"/>
      <c r="I17" s="311"/>
      <c r="J17" s="334"/>
      <c r="K17" s="308"/>
      <c r="L17" s="336"/>
      <c r="M17" s="336"/>
      <c r="N17" s="311"/>
      <c r="O17" s="759"/>
      <c r="P17" s="311"/>
      <c r="Q17" s="311"/>
      <c r="R17" s="311"/>
      <c r="S17" s="386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390"/>
      <c r="AF17" s="368"/>
      <c r="AG17" s="473"/>
      <c r="AH17" s="368"/>
      <c r="AI17" s="475"/>
      <c r="AJ17" s="475"/>
      <c r="AK17" s="368"/>
      <c r="AL17" s="368"/>
    </row>
    <row r="18" spans="1:38" ht="12.75" customHeight="1" x14ac:dyDescent="0.25">
      <c r="A18" s="317"/>
      <c r="B18" s="314" t="s">
        <v>391</v>
      </c>
      <c r="C18" s="314"/>
      <c r="D18" s="314"/>
      <c r="E18" s="314"/>
      <c r="F18" s="314"/>
      <c r="G18" s="314"/>
      <c r="H18" s="314"/>
      <c r="I18" s="418"/>
      <c r="J18" s="323"/>
      <c r="K18" s="308"/>
      <c r="L18" s="312">
        <f>ROUND(VLOOKUP(J18,TabelLøn,+L11,1)*TællerNyLøn/$M$7,2)</f>
        <v>0</v>
      </c>
      <c r="M18" s="313">
        <f>L18*12</f>
        <v>0</v>
      </c>
      <c r="N18" s="322"/>
      <c r="O18" s="759"/>
      <c r="P18" s="322"/>
      <c r="Q18" s="322"/>
      <c r="S18" s="386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390"/>
      <c r="AF18" s="368"/>
      <c r="AG18" s="473" t="e">
        <f>+VLOOKUP(Y14,Vejledning!A:AP,10,1)</f>
        <v>#N/A</v>
      </c>
      <c r="AH18" s="368"/>
      <c r="AI18" s="475" t="e">
        <f>+VLOOKUP(Y14,Vejledning!A:AV,11,1)</f>
        <v>#N/A</v>
      </c>
      <c r="AJ18" s="475"/>
      <c r="AK18" s="368"/>
      <c r="AL18" s="368"/>
    </row>
    <row r="19" spans="1:38" ht="12.75" customHeight="1" x14ac:dyDescent="0.25">
      <c r="A19" s="317"/>
      <c r="B19" s="314"/>
      <c r="C19" s="328" t="s">
        <v>390</v>
      </c>
      <c r="D19" s="314"/>
      <c r="E19" s="314"/>
      <c r="F19" s="314"/>
      <c r="G19" s="314"/>
      <c r="H19" s="315"/>
      <c r="I19" s="316"/>
      <c r="J19" s="427"/>
      <c r="K19" s="308"/>
      <c r="L19" s="312">
        <f>ROUND(I19/12*BeskGradNyLøn*(1+PctRegNyLøn%),2)</f>
        <v>0</v>
      </c>
      <c r="M19" s="313">
        <f>L19*12</f>
        <v>0</v>
      </c>
      <c r="N19" s="322"/>
      <c r="O19" s="759"/>
      <c r="P19" s="322"/>
      <c r="Q19" s="322"/>
      <c r="S19" s="387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388"/>
      <c r="AF19" s="367"/>
      <c r="AH19" s="367"/>
      <c r="AI19" s="475"/>
      <c r="AJ19" s="475"/>
      <c r="AK19" s="367"/>
      <c r="AL19" s="367"/>
    </row>
    <row r="20" spans="1:38" ht="6" customHeight="1" x14ac:dyDescent="0.25">
      <c r="A20" s="317"/>
      <c r="B20" s="317"/>
      <c r="C20" s="317"/>
      <c r="D20" s="317"/>
      <c r="E20" s="317"/>
      <c r="F20" s="317"/>
      <c r="G20" s="317"/>
      <c r="H20" s="317"/>
      <c r="I20" s="329"/>
      <c r="J20" s="308"/>
      <c r="K20" s="308"/>
      <c r="L20" s="329"/>
      <c r="M20" s="329"/>
      <c r="N20" s="586"/>
      <c r="O20" s="759"/>
      <c r="P20" s="586"/>
      <c r="Q20" s="586"/>
      <c r="R20" s="317"/>
      <c r="S20" s="678" t="s">
        <v>424</v>
      </c>
      <c r="T20" s="678"/>
      <c r="U20" s="678"/>
      <c r="V20" s="678"/>
      <c r="W20" s="678"/>
      <c r="X20" s="678"/>
      <c r="Y20" s="678"/>
      <c r="Z20" s="678"/>
      <c r="AA20" s="678"/>
      <c r="AB20" s="678"/>
      <c r="AC20" s="678"/>
      <c r="AD20" s="678"/>
      <c r="AF20" s="367"/>
      <c r="AH20" s="367"/>
      <c r="AI20" s="475"/>
      <c r="AJ20" s="475"/>
      <c r="AK20" s="367"/>
      <c r="AL20" s="367"/>
    </row>
    <row r="21" spans="1:38" ht="12.75" customHeight="1" x14ac:dyDescent="0.25">
      <c r="A21" s="317"/>
      <c r="B21" s="327" t="s">
        <v>145</v>
      </c>
      <c r="C21" s="327"/>
      <c r="D21" s="327"/>
      <c r="E21" s="310"/>
      <c r="F21" s="310"/>
      <c r="G21" s="310"/>
      <c r="H21" s="310"/>
      <c r="I21" s="310"/>
      <c r="J21" s="308"/>
      <c r="K21" s="308"/>
      <c r="L21" s="310"/>
      <c r="M21" s="310"/>
      <c r="N21" s="310"/>
      <c r="O21" s="759"/>
      <c r="P21" s="310"/>
      <c r="Q21" s="310"/>
      <c r="R21" s="310"/>
      <c r="S21" s="678"/>
      <c r="T21" s="678"/>
      <c r="U21" s="678"/>
      <c r="V21" s="678"/>
      <c r="W21" s="678"/>
      <c r="X21" s="678"/>
      <c r="Y21" s="678"/>
      <c r="Z21" s="678"/>
      <c r="AA21" s="678"/>
      <c r="AB21" s="678"/>
      <c r="AC21" s="678"/>
      <c r="AD21" s="678"/>
      <c r="AF21" s="367"/>
      <c r="AG21" s="474" t="e">
        <f>+VLOOKUP(Y14,Vejledning!A:AP,12,1)</f>
        <v>#N/A</v>
      </c>
      <c r="AH21" s="367"/>
      <c r="AI21" s="475" t="e">
        <f>+VLOOKUP(Y14,Vejledning!A:AV,13,1)</f>
        <v>#N/A</v>
      </c>
      <c r="AJ21" s="475"/>
      <c r="AK21" s="367"/>
      <c r="AL21" s="367"/>
    </row>
    <row r="22" spans="1:38" ht="6" customHeight="1" x14ac:dyDescent="0.25">
      <c r="A22" s="317"/>
      <c r="B22" s="310"/>
      <c r="C22" s="330" t="s">
        <v>388</v>
      </c>
      <c r="D22" s="306"/>
      <c r="E22" s="306"/>
      <c r="F22" s="306"/>
      <c r="G22" s="306"/>
      <c r="H22" s="306"/>
      <c r="I22" s="306"/>
      <c r="J22" s="331"/>
      <c r="K22" s="308"/>
      <c r="L22" s="306"/>
      <c r="M22" s="306"/>
      <c r="N22" s="306"/>
      <c r="O22" s="759"/>
      <c r="P22" s="306"/>
      <c r="Q22" s="306"/>
      <c r="R22" s="306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F22" s="367"/>
      <c r="AH22" s="367"/>
      <c r="AI22" s="475"/>
      <c r="AJ22" s="475"/>
      <c r="AK22" s="367"/>
      <c r="AL22" s="367"/>
    </row>
    <row r="23" spans="1:38" ht="12.75" customHeight="1" x14ac:dyDescent="0.25">
      <c r="A23" s="317"/>
      <c r="B23" s="310"/>
      <c r="C23" s="306" t="s">
        <v>395</v>
      </c>
      <c r="D23" s="310"/>
      <c r="E23" s="310"/>
      <c r="F23" s="310"/>
      <c r="G23" s="310"/>
      <c r="H23" s="310"/>
      <c r="I23" s="418"/>
      <c r="J23" s="323"/>
      <c r="K23" s="308"/>
      <c r="L23" s="312">
        <f>ROUND((VLOOKUP($J$18+J23,TabelLøn,+L11,1)-VLOOKUP($J$18,TabelLøn,+L11,1))*BeskGradNyLøn,2)</f>
        <v>0</v>
      </c>
      <c r="M23" s="313">
        <f>L23*12</f>
        <v>0</v>
      </c>
      <c r="N23" s="726" t="s">
        <v>776</v>
      </c>
      <c r="O23" s="727"/>
      <c r="P23" s="727"/>
      <c r="Q23" s="727"/>
      <c r="R23" s="728"/>
      <c r="S23" s="675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7"/>
      <c r="AF23" s="367"/>
      <c r="AK23" s="367"/>
      <c r="AL23" s="367"/>
    </row>
    <row r="24" spans="1:38" ht="12.75" customHeight="1" x14ac:dyDescent="0.25">
      <c r="A24" s="317"/>
      <c r="B24" s="310"/>
      <c r="C24" s="306" t="s">
        <v>396</v>
      </c>
      <c r="D24" s="310"/>
      <c r="E24" s="310"/>
      <c r="F24" s="310"/>
      <c r="G24" s="310"/>
      <c r="H24" s="318"/>
      <c r="I24" s="316"/>
      <c r="J24" s="422"/>
      <c r="K24" s="308"/>
      <c r="L24" s="312">
        <f>IF(P24=1,ROUND(I24/12*BeskGradNyLøn*(1+PctRegNyLøn%),2),(ROUND((1+PctRegNyLøn%)*I24/12,2)))</f>
        <v>0</v>
      </c>
      <c r="M24" s="313">
        <f>L24*12</f>
        <v>0</v>
      </c>
      <c r="N24" s="322"/>
      <c r="O24" s="596"/>
      <c r="P24" s="592">
        <f t="shared" ref="P24" si="0">IF(O24="x",0,1)</f>
        <v>1</v>
      </c>
      <c r="Q24" s="322"/>
      <c r="S24" s="675"/>
      <c r="T24" s="676"/>
      <c r="U24" s="676"/>
      <c r="V24" s="676"/>
      <c r="W24" s="676"/>
      <c r="X24" s="676"/>
      <c r="Y24" s="676"/>
      <c r="Z24" s="676"/>
      <c r="AA24" s="676"/>
      <c r="AB24" s="676"/>
      <c r="AC24" s="676"/>
      <c r="AD24" s="677"/>
      <c r="AF24" s="367"/>
      <c r="AG24" s="474" t="e">
        <f>+VLOOKUP(Y14,Vejledning!A:AP,14,1)</f>
        <v>#N/A</v>
      </c>
      <c r="AH24" s="367"/>
      <c r="AI24" s="475" t="e">
        <f>+VLOOKUP(Y14,Vejledning!A:AV,15,1)</f>
        <v>#N/A</v>
      </c>
      <c r="AJ24" s="475"/>
      <c r="AK24" s="367"/>
      <c r="AL24" s="367"/>
    </row>
    <row r="25" spans="1:38" ht="6" customHeight="1" x14ac:dyDescent="0.25">
      <c r="A25" s="317"/>
      <c r="B25" s="310"/>
      <c r="C25" s="330" t="s">
        <v>388</v>
      </c>
      <c r="D25" s="306"/>
      <c r="E25" s="306"/>
      <c r="F25" s="306"/>
      <c r="G25" s="306"/>
      <c r="H25" s="306"/>
      <c r="I25" s="306"/>
      <c r="J25" s="331"/>
      <c r="K25" s="308"/>
      <c r="L25" s="306"/>
      <c r="M25" s="306"/>
      <c r="N25" s="306"/>
      <c r="O25" s="306"/>
      <c r="P25" s="306"/>
      <c r="Q25" s="306"/>
      <c r="R25" s="306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F25" s="367"/>
      <c r="AH25" s="367"/>
      <c r="AK25" s="367"/>
      <c r="AL25" s="367"/>
    </row>
    <row r="26" spans="1:38" ht="12.75" customHeight="1" x14ac:dyDescent="0.25">
      <c r="A26" s="317"/>
      <c r="B26" s="310"/>
      <c r="C26" s="306" t="s">
        <v>393</v>
      </c>
      <c r="D26" s="310"/>
      <c r="E26" s="310"/>
      <c r="F26" s="310"/>
      <c r="G26" s="310"/>
      <c r="H26" s="310"/>
      <c r="I26" s="419"/>
      <c r="J26" s="323"/>
      <c r="K26" s="308"/>
      <c r="L26" s="312">
        <f>ROUND((VLOOKUP($J$18+J23+J26,TabelLøn,+L11,1)-VLOOKUP($J$18+J23,TabelLøn,+L11,1))*BeskGradNyLøn,2)</f>
        <v>0</v>
      </c>
      <c r="M26" s="313">
        <f t="shared" ref="M26:M32" si="1">L26*12</f>
        <v>0</v>
      </c>
      <c r="N26" s="322"/>
      <c r="O26" s="322"/>
      <c r="P26" s="322"/>
      <c r="Q26" s="322"/>
      <c r="S26" s="675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7"/>
      <c r="AF26" s="367"/>
      <c r="AG26" s="474" t="e">
        <f>+VLOOKUP(Y14,Vejledning!A:AP,16,1)</f>
        <v>#N/A</v>
      </c>
      <c r="AH26" s="367"/>
      <c r="AI26" s="475" t="e">
        <f>+VLOOKUP(Y14,Vejledning!A:AV,17,1)</f>
        <v>#N/A</v>
      </c>
      <c r="AJ26" s="475"/>
      <c r="AK26" s="367"/>
      <c r="AL26" s="367"/>
    </row>
    <row r="27" spans="1:38" ht="12.75" customHeight="1" x14ac:dyDescent="0.25">
      <c r="A27" s="317"/>
      <c r="B27" s="310"/>
      <c r="C27" s="306" t="s">
        <v>393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ROUND((VLOOKUP($J$18+J23+J26+J27,TabelLøn,+L11,1)-VLOOKUP($J$18+J23+J26,TabelLøn,+L11,1))*BeskGradNyLøn,2)</f>
        <v>0</v>
      </c>
      <c r="M27" s="313">
        <f t="shared" si="1"/>
        <v>0</v>
      </c>
      <c r="N27" s="322"/>
      <c r="O27" s="322"/>
      <c r="P27" s="322"/>
      <c r="Q27" s="322"/>
      <c r="S27" s="675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7"/>
      <c r="AF27" s="367"/>
      <c r="AG27" s="474" t="e">
        <f>+VLOOKUP(Y14,Vejledning!A:AP,18,1)</f>
        <v>#N/A</v>
      </c>
      <c r="AH27" s="367"/>
      <c r="AI27" s="475" t="e">
        <f>+VLOOKUP(Y14,Vejledning!A:AV,19,1)</f>
        <v>#N/A</v>
      </c>
      <c r="AJ27" s="475"/>
      <c r="AK27" s="367"/>
      <c r="AL27" s="367"/>
    </row>
    <row r="28" spans="1:38" ht="12.75" customHeight="1" x14ac:dyDescent="0.25">
      <c r="A28" s="317"/>
      <c r="B28" s="310"/>
      <c r="C28" s="306" t="s">
        <v>393</v>
      </c>
      <c r="D28" s="310"/>
      <c r="E28" s="310"/>
      <c r="F28" s="310"/>
      <c r="G28" s="310"/>
      <c r="H28" s="310"/>
      <c r="I28" s="418"/>
      <c r="J28" s="323"/>
      <c r="K28" s="308"/>
      <c r="L28" s="312">
        <f>ROUND((VLOOKUP($J$18+J23+J26+J27+J28,TabelLøn,+L11,1)-VLOOKUP($J$18+J23+J26+J27,TabelLøn,+L11,1))*BeskGradNyLøn,2)</f>
        <v>0</v>
      </c>
      <c r="M28" s="313">
        <f t="shared" si="1"/>
        <v>0</v>
      </c>
      <c r="N28" s="322"/>
      <c r="O28" s="322"/>
      <c r="P28" s="322"/>
      <c r="Q28" s="322"/>
      <c r="S28" s="675"/>
      <c r="T28" s="676"/>
      <c r="U28" s="676"/>
      <c r="V28" s="676"/>
      <c r="W28" s="676"/>
      <c r="X28" s="676"/>
      <c r="Y28" s="676"/>
      <c r="Z28" s="676"/>
      <c r="AA28" s="676"/>
      <c r="AB28" s="676"/>
      <c r="AC28" s="676"/>
      <c r="AD28" s="677"/>
      <c r="AF28" s="367"/>
      <c r="AH28" s="367"/>
      <c r="AK28" s="367"/>
      <c r="AL28" s="367"/>
    </row>
    <row r="29" spans="1:38" ht="12.75" hidden="1" customHeight="1" x14ac:dyDescent="0.25">
      <c r="A29" s="586"/>
      <c r="B29" s="310"/>
      <c r="C29" s="306" t="s">
        <v>394</v>
      </c>
      <c r="D29" s="310"/>
      <c r="E29" s="310"/>
      <c r="F29" s="310"/>
      <c r="G29" s="310"/>
      <c r="H29" s="318"/>
      <c r="I29" s="316"/>
      <c r="J29" s="420"/>
      <c r="K29" s="308"/>
      <c r="L29" s="312">
        <f>IF(P29=1,ROUND(I29/12*BeskGradNyLøn*(1+PctRegNyLøn%),2),(ROUND((1+PctRegNyLøn%)*I29/12,2)))</f>
        <v>0</v>
      </c>
      <c r="M29" s="313">
        <f t="shared" si="1"/>
        <v>0</v>
      </c>
      <c r="N29" s="322"/>
      <c r="O29" s="596"/>
      <c r="P29" s="592">
        <f t="shared" ref="P29:P32" si="2">IF(O29="x",0,1)</f>
        <v>1</v>
      </c>
      <c r="Q29" s="322"/>
      <c r="S29" s="675"/>
      <c r="T29" s="676"/>
      <c r="U29" s="676"/>
      <c r="V29" s="676"/>
      <c r="W29" s="676"/>
      <c r="X29" s="676"/>
      <c r="Y29" s="676"/>
      <c r="Z29" s="676"/>
      <c r="AA29" s="676"/>
      <c r="AB29" s="676"/>
      <c r="AC29" s="676"/>
      <c r="AD29" s="677"/>
      <c r="AF29" s="367"/>
      <c r="AG29" s="474" t="e">
        <f>+VLOOKUP(Y14,Vejledning!A:AP,20,1)</f>
        <v>#N/A</v>
      </c>
      <c r="AH29" s="367"/>
      <c r="AI29" s="475" t="e">
        <f>+VLOOKUP(Y14,Vejledning!A:AV,21,1)</f>
        <v>#N/A</v>
      </c>
      <c r="AK29" s="367"/>
      <c r="AL29" s="367"/>
    </row>
    <row r="30" spans="1:38" ht="12.75" customHeight="1" x14ac:dyDescent="0.25">
      <c r="A30" s="586"/>
      <c r="B30" s="310"/>
      <c r="C30" s="306" t="s">
        <v>394</v>
      </c>
      <c r="D30" s="310"/>
      <c r="E30" s="310"/>
      <c r="F30" s="310"/>
      <c r="G30" s="310"/>
      <c r="H30" s="318"/>
      <c r="I30" s="316"/>
      <c r="J30" s="421"/>
      <c r="K30" s="308"/>
      <c r="L30" s="312">
        <f>IF(P30=1,ROUND(I30/12*BeskGradNyLøn*(1+PctRegNyLøn%),2),(ROUND((1+PctRegNyLøn%)*I30/12,2)))</f>
        <v>0</v>
      </c>
      <c r="M30" s="313">
        <f t="shared" si="1"/>
        <v>0</v>
      </c>
      <c r="N30" s="322"/>
      <c r="O30" s="596" t="s">
        <v>7</v>
      </c>
      <c r="P30" s="592">
        <f t="shared" si="2"/>
        <v>1</v>
      </c>
      <c r="Q30" s="322"/>
      <c r="S30" s="675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7"/>
      <c r="AF30" s="367"/>
      <c r="AH30" s="367"/>
      <c r="AK30" s="367"/>
      <c r="AL30" s="367"/>
    </row>
    <row r="31" spans="1:38" ht="12.75" customHeight="1" x14ac:dyDescent="0.25">
      <c r="A31" s="586"/>
      <c r="B31" s="310"/>
      <c r="C31" s="306" t="s">
        <v>394</v>
      </c>
      <c r="D31" s="310"/>
      <c r="E31" s="310"/>
      <c r="F31" s="310"/>
      <c r="G31" s="310"/>
      <c r="H31" s="318"/>
      <c r="I31" s="316"/>
      <c r="J31" s="421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6" t="s">
        <v>7</v>
      </c>
      <c r="P31" s="592">
        <f t="shared" si="2"/>
        <v>1</v>
      </c>
      <c r="Q31" s="322"/>
      <c r="S31" s="675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7"/>
      <c r="AF31" s="367"/>
      <c r="AG31" s="474" t="e">
        <f>+VLOOKUP(Y14,Vejledning!A:AP,22,1)</f>
        <v>#N/A</v>
      </c>
      <c r="AH31" s="367"/>
      <c r="AI31" s="475" t="e">
        <f>+VLOOKUP(Y14,Vejledning!A:AV,23,1)</f>
        <v>#N/A</v>
      </c>
      <c r="AK31" s="367"/>
      <c r="AL31" s="367"/>
    </row>
    <row r="32" spans="1:38" ht="12.75" customHeight="1" x14ac:dyDescent="0.25">
      <c r="A32" s="586"/>
      <c r="B32" s="310"/>
      <c r="C32" s="306" t="s">
        <v>394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6"/>
      <c r="P32" s="592">
        <f t="shared" si="2"/>
        <v>1</v>
      </c>
      <c r="Q32" s="322"/>
      <c r="S32" s="675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7"/>
      <c r="AF32" s="367"/>
      <c r="AH32" s="367"/>
      <c r="AK32" s="367"/>
      <c r="AL32" s="367"/>
    </row>
    <row r="33" spans="1:38" ht="6" customHeight="1" x14ac:dyDescent="0.25">
      <c r="A33" s="586"/>
      <c r="B33" s="310"/>
      <c r="C33" s="306"/>
      <c r="D33" s="306"/>
      <c r="E33" s="306"/>
      <c r="F33" s="306"/>
      <c r="G33" s="306"/>
      <c r="H33" s="306"/>
      <c r="I33" s="306"/>
      <c r="J33" s="331"/>
      <c r="K33" s="308"/>
      <c r="L33" s="306"/>
      <c r="M33" s="306"/>
      <c r="N33" s="306"/>
      <c r="O33" s="306"/>
      <c r="P33" s="593"/>
      <c r="Q33" s="306"/>
      <c r="R33" s="306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F33" s="367"/>
      <c r="AH33" s="367"/>
      <c r="AK33" s="367"/>
      <c r="AL33" s="367"/>
    </row>
    <row r="34" spans="1:38" ht="12.75" customHeight="1" x14ac:dyDescent="0.25">
      <c r="A34" s="586"/>
      <c r="B34" s="310"/>
      <c r="C34" s="575" t="s">
        <v>403</v>
      </c>
      <c r="D34" s="574"/>
      <c r="E34" s="574"/>
      <c r="F34" s="574"/>
      <c r="G34" s="574"/>
      <c r="H34" s="576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>L34*12</f>
        <v>0</v>
      </c>
      <c r="N34" s="322"/>
      <c r="O34" s="596"/>
      <c r="P34" s="592">
        <f>IF(O34="x",0,1)</f>
        <v>1</v>
      </c>
      <c r="Q34" s="322"/>
      <c r="S34" s="675"/>
      <c r="T34" s="676"/>
      <c r="U34" s="676"/>
      <c r="V34" s="676"/>
      <c r="W34" s="676"/>
      <c r="X34" s="676"/>
      <c r="Y34" s="676"/>
      <c r="Z34" s="676"/>
      <c r="AA34" s="676"/>
      <c r="AB34" s="676"/>
      <c r="AC34" s="676"/>
      <c r="AD34" s="677"/>
      <c r="AF34" s="367"/>
      <c r="AG34" s="474" t="e">
        <f>+VLOOKUP(Y14,Vejledning!A:AP,24,1)</f>
        <v>#N/A</v>
      </c>
      <c r="AH34" s="367"/>
      <c r="AI34" s="474" t="e">
        <f>+VLOOKUP(Y14,Vejledning!A:AV,25,1)</f>
        <v>#N/A</v>
      </c>
      <c r="AK34" s="367"/>
      <c r="AL34" s="367"/>
    </row>
    <row r="35" spans="1:38" ht="12.75" customHeight="1" x14ac:dyDescent="0.25">
      <c r="A35" s="586"/>
      <c r="B35" s="310"/>
      <c r="C35" s="575" t="s">
        <v>392</v>
      </c>
      <c r="D35" s="574"/>
      <c r="E35" s="574"/>
      <c r="F35" s="574"/>
      <c r="G35" s="574"/>
      <c r="H35" s="576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>L35*12</f>
        <v>0</v>
      </c>
      <c r="N35" s="322"/>
      <c r="O35" s="596"/>
      <c r="P35" s="592">
        <f>IF(O35="x",0,1)</f>
        <v>1</v>
      </c>
      <c r="Q35" s="322"/>
      <c r="S35" s="675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7"/>
      <c r="AF35" s="367"/>
      <c r="AH35" s="367"/>
      <c r="AK35" s="367"/>
      <c r="AL35" s="367"/>
    </row>
    <row r="36" spans="1:38" ht="6" customHeight="1" x14ac:dyDescent="0.25">
      <c r="A36" s="317"/>
      <c r="B36" s="310"/>
      <c r="C36" s="330" t="s">
        <v>388</v>
      </c>
      <c r="D36" s="306"/>
      <c r="E36" s="306"/>
      <c r="F36" s="306"/>
      <c r="G36" s="306"/>
      <c r="H36" s="306"/>
      <c r="I36" s="306"/>
      <c r="J36" s="331"/>
      <c r="K36" s="308"/>
      <c r="L36" s="306"/>
      <c r="M36" s="306"/>
      <c r="N36" s="306"/>
      <c r="O36" s="306"/>
      <c r="P36" s="593"/>
      <c r="Q36" s="306"/>
      <c r="R36" s="306"/>
      <c r="S36" s="779" t="s">
        <v>728</v>
      </c>
      <c r="T36" s="779"/>
      <c r="U36" s="779"/>
      <c r="V36" s="779"/>
      <c r="W36" s="779"/>
      <c r="X36" s="779"/>
      <c r="Y36" s="779"/>
      <c r="Z36" s="779"/>
      <c r="AA36" s="779"/>
      <c r="AB36" s="779"/>
      <c r="AC36" s="779"/>
      <c r="AD36" s="779"/>
      <c r="AF36" s="367"/>
      <c r="AH36" s="367"/>
      <c r="AK36" s="367"/>
      <c r="AL36" s="367"/>
    </row>
    <row r="37" spans="1:38" ht="12.75" customHeight="1" x14ac:dyDescent="0.25">
      <c r="A37" s="317"/>
      <c r="B37" s="327" t="s">
        <v>146</v>
      </c>
      <c r="C37" s="310"/>
      <c r="D37" s="310"/>
      <c r="E37" s="310"/>
      <c r="F37" s="310"/>
      <c r="G37" s="310"/>
      <c r="H37" s="310"/>
      <c r="I37" s="310"/>
      <c r="J37" s="308"/>
      <c r="K37" s="308"/>
      <c r="L37" s="310"/>
      <c r="M37" s="310"/>
      <c r="N37" s="310"/>
      <c r="O37" s="310"/>
      <c r="P37" s="594"/>
      <c r="Q37" s="310"/>
      <c r="S37" s="780"/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0"/>
      <c r="AF37" s="367"/>
      <c r="AG37" s="474" t="e">
        <f>+VLOOKUP(Y14,Vejledning!A:AP,26,1)</f>
        <v>#N/A</v>
      </c>
      <c r="AH37" s="367"/>
      <c r="AI37" s="474" t="e">
        <f>+VLOOKUP(Y14,Vejledning!A:AV,27,1)</f>
        <v>#N/A</v>
      </c>
      <c r="AK37" s="367"/>
      <c r="AL37" s="367"/>
    </row>
    <row r="38" spans="1:38" ht="6" customHeight="1" x14ac:dyDescent="0.25">
      <c r="A38" s="317"/>
      <c r="B38" s="310"/>
      <c r="C38" s="330" t="s">
        <v>388</v>
      </c>
      <c r="D38" s="306"/>
      <c r="E38" s="306"/>
      <c r="F38" s="306"/>
      <c r="G38" s="306"/>
      <c r="H38" s="306"/>
      <c r="I38" s="306"/>
      <c r="J38" s="331"/>
      <c r="K38" s="308"/>
      <c r="L38" s="306"/>
      <c r="M38" s="306"/>
      <c r="N38" s="306"/>
      <c r="O38" s="306"/>
      <c r="P38" s="593"/>
      <c r="Q38" s="306"/>
      <c r="R38" s="306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F38" s="367"/>
      <c r="AH38" s="367"/>
      <c r="AK38" s="367"/>
      <c r="AL38" s="367"/>
    </row>
    <row r="39" spans="1:38" ht="12.75" customHeight="1" x14ac:dyDescent="0.25">
      <c r="A39" s="317"/>
      <c r="B39" s="310"/>
      <c r="C39" s="306" t="s">
        <v>397</v>
      </c>
      <c r="D39" s="310"/>
      <c r="E39" s="310"/>
      <c r="F39" s="310"/>
      <c r="G39" s="310"/>
      <c r="H39" s="310"/>
      <c r="I39" s="419"/>
      <c r="J39" s="323"/>
      <c r="K39" s="308"/>
      <c r="L39" s="312">
        <f>ROUND((VLOOKUP($J$18+J23+J26+J27+J28+J39,TabelLøn,+L11,1)-VLOOKUP($J$18+J23+J26+J27+J28,TabelLøn,+L11,1))*BeskGradNyLøn,2)</f>
        <v>0</v>
      </c>
      <c r="M39" s="313">
        <f>L39*12</f>
        <v>0</v>
      </c>
      <c r="N39" s="322"/>
      <c r="O39" s="322"/>
      <c r="P39" s="595"/>
      <c r="Q39" s="322"/>
      <c r="S39" s="675"/>
      <c r="T39" s="676"/>
      <c r="U39" s="676"/>
      <c r="V39" s="676"/>
      <c r="W39" s="676"/>
      <c r="X39" s="676"/>
      <c r="Y39" s="676"/>
      <c r="Z39" s="676"/>
      <c r="AA39" s="676"/>
      <c r="AB39" s="676"/>
      <c r="AC39" s="676"/>
      <c r="AD39" s="677"/>
      <c r="AF39" s="367"/>
      <c r="AG39" s="474" t="e">
        <f>+VLOOKUP(Y14,Vejledning!A:AP,28,1)</f>
        <v>#N/A</v>
      </c>
      <c r="AH39" s="367"/>
      <c r="AK39" s="367"/>
      <c r="AL39" s="367"/>
    </row>
    <row r="40" spans="1:38" ht="12.75" customHeight="1" x14ac:dyDescent="0.25">
      <c r="A40" s="317"/>
      <c r="B40" s="310"/>
      <c r="C40" s="306" t="s">
        <v>397</v>
      </c>
      <c r="D40" s="310"/>
      <c r="E40" s="310"/>
      <c r="F40" s="310"/>
      <c r="G40" s="310"/>
      <c r="H40" s="310"/>
      <c r="I40" s="418"/>
      <c r="J40" s="323"/>
      <c r="K40" s="308"/>
      <c r="L40" s="312">
        <f>ROUND((VLOOKUP($J$18+J23+J26+J27+J28+J39+J40,TabelLøn,+L11,1)-VLOOKUP($J$18+J23+J26+J27+J28+J39,TabelLøn,+L11,1))*BeskGradNyLøn,2)</f>
        <v>0</v>
      </c>
      <c r="M40" s="313">
        <f t="shared" ref="M40:M52" si="3">L40*12</f>
        <v>0</v>
      </c>
      <c r="N40" s="322"/>
      <c r="O40" s="322"/>
      <c r="P40" s="595"/>
      <c r="Q40" s="322"/>
      <c r="S40" s="675"/>
      <c r="T40" s="676"/>
      <c r="U40" s="676"/>
      <c r="V40" s="676"/>
      <c r="W40" s="676"/>
      <c r="X40" s="676"/>
      <c r="Y40" s="676"/>
      <c r="Z40" s="676"/>
      <c r="AA40" s="676"/>
      <c r="AB40" s="676"/>
      <c r="AC40" s="676"/>
      <c r="AD40" s="677"/>
      <c r="AF40" s="367"/>
      <c r="AG40" s="474" t="e">
        <f>+VLOOKUP(Y14,Vejledning!A:AP,30,1)</f>
        <v>#N/A</v>
      </c>
      <c r="AH40" s="367"/>
      <c r="AK40" s="367"/>
      <c r="AL40" s="367"/>
    </row>
    <row r="41" spans="1:38" ht="12.75" customHeight="1" x14ac:dyDescent="0.25">
      <c r="A41" s="586"/>
      <c r="B41" s="310"/>
      <c r="C41" s="306" t="s">
        <v>398</v>
      </c>
      <c r="D41" s="310"/>
      <c r="E41" s="310"/>
      <c r="F41" s="310"/>
      <c r="G41" s="310"/>
      <c r="H41" s="318"/>
      <c r="I41" s="316"/>
      <c r="J41" s="422"/>
      <c r="K41" s="308"/>
      <c r="L41" s="312">
        <f>IF(P41=1,ROUND(I41/12*BeskGradNyLøn*(1+PctRegNyLøn%),2),(ROUND((1+PctRegNyLøn%)*I41/12,2)))</f>
        <v>0</v>
      </c>
      <c r="M41" s="313">
        <f t="shared" si="3"/>
        <v>0</v>
      </c>
      <c r="N41" s="322"/>
      <c r="O41" s="596"/>
      <c r="P41" s="592">
        <f>IF(O41="x",0,1)</f>
        <v>1</v>
      </c>
      <c r="Q41" s="322"/>
      <c r="S41" s="675"/>
      <c r="T41" s="676"/>
      <c r="U41" s="676"/>
      <c r="V41" s="676"/>
      <c r="W41" s="676"/>
      <c r="X41" s="676"/>
      <c r="Y41" s="676"/>
      <c r="Z41" s="676"/>
      <c r="AA41" s="676"/>
      <c r="AB41" s="676"/>
      <c r="AC41" s="676"/>
      <c r="AD41" s="677"/>
      <c r="AF41" s="367"/>
      <c r="AG41" s="474" t="e">
        <f>+VLOOKUP(Y14,Vejledning!A:AP,30,1)</f>
        <v>#N/A</v>
      </c>
      <c r="AH41" s="367"/>
      <c r="AI41" s="474" t="e">
        <f>+VLOOKUP(Y14,Vejledning!A:AV,31,1)</f>
        <v>#N/A</v>
      </c>
      <c r="AK41" s="367"/>
      <c r="AL41" s="367"/>
    </row>
    <row r="42" spans="1:38" ht="12.75" customHeight="1" x14ac:dyDescent="0.25">
      <c r="A42" s="586"/>
      <c r="B42" s="310"/>
      <c r="C42" s="306" t="s">
        <v>398</v>
      </c>
      <c r="D42" s="310"/>
      <c r="E42" s="310"/>
      <c r="F42" s="310"/>
      <c r="G42" s="310"/>
      <c r="H42" s="318"/>
      <c r="I42" s="316"/>
      <c r="J42" s="423"/>
      <c r="K42" s="308"/>
      <c r="L42" s="312">
        <f>IF(P42=1,ROUND(I42/12*BeskGradNyLøn*(1+PctRegNyLøn%),2),(ROUND((1+PctRegNyLøn%)*I42/12,2)))</f>
        <v>0</v>
      </c>
      <c r="M42" s="313">
        <f t="shared" si="3"/>
        <v>0</v>
      </c>
      <c r="N42" s="322"/>
      <c r="O42" s="596"/>
      <c r="P42" s="592">
        <f>IF(O42="x",0,1)</f>
        <v>1</v>
      </c>
      <c r="Q42" s="322"/>
      <c r="S42" s="675"/>
      <c r="T42" s="676"/>
      <c r="U42" s="676"/>
      <c r="V42" s="676"/>
      <c r="W42" s="676"/>
      <c r="X42" s="676"/>
      <c r="Y42" s="676"/>
      <c r="Z42" s="676"/>
      <c r="AA42" s="676"/>
      <c r="AB42" s="676"/>
      <c r="AC42" s="676"/>
      <c r="AD42" s="677"/>
      <c r="AF42" s="367"/>
      <c r="AG42" s="474" t="e">
        <f>+VLOOKUP(Y14,Vejledning!A:AP,32,1)</f>
        <v>#N/A</v>
      </c>
      <c r="AH42" s="367"/>
      <c r="AI42" s="474" t="e">
        <f>+VLOOKUP(Y14,Vejledning!A:AV,33,1)</f>
        <v>#N/A</v>
      </c>
      <c r="AK42" s="367"/>
      <c r="AL42" s="367"/>
    </row>
    <row r="43" spans="1:38" ht="6" customHeight="1" x14ac:dyDescent="0.25">
      <c r="A43" s="317"/>
      <c r="B43" s="310"/>
      <c r="C43" s="306"/>
      <c r="D43" s="306"/>
      <c r="E43" s="306"/>
      <c r="F43" s="306"/>
      <c r="G43" s="306"/>
      <c r="H43" s="306"/>
      <c r="I43" s="306"/>
      <c r="J43" s="331"/>
      <c r="K43" s="308"/>
      <c r="L43" s="306"/>
      <c r="M43" s="306"/>
      <c r="N43" s="306"/>
      <c r="O43" s="306"/>
      <c r="P43" s="306"/>
      <c r="Q43" s="306"/>
      <c r="R43" s="306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F43" s="367"/>
      <c r="AH43" s="367"/>
      <c r="AK43" s="367"/>
      <c r="AL43" s="367"/>
    </row>
    <row r="44" spans="1:38" ht="12.75" customHeight="1" x14ac:dyDescent="0.25">
      <c r="A44" s="317"/>
      <c r="B44" s="310"/>
      <c r="C44" s="306" t="s">
        <v>401</v>
      </c>
      <c r="D44" s="310"/>
      <c r="E44" s="310"/>
      <c r="F44" s="310"/>
      <c r="G44" s="310"/>
      <c r="H44" s="310"/>
      <c r="I44" s="419"/>
      <c r="J44" s="323"/>
      <c r="K44" s="308"/>
      <c r="L44" s="312">
        <f>ROUND((VLOOKUP($J$18+J23+J26+J27+J28+J39+J40+J44,TabelLøn,+L11,1)-VLOOKUP($J$18+J23+J26+J27+J28+J39+J40,TabelLøn,+L11,1))*BeskGradNyLøn,2)</f>
        <v>0</v>
      </c>
      <c r="M44" s="313">
        <f>L44*12</f>
        <v>0</v>
      </c>
      <c r="N44" s="322"/>
      <c r="O44" s="322"/>
      <c r="P44" s="322"/>
      <c r="Q44" s="322"/>
      <c r="S44" s="675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7"/>
      <c r="AF44" s="367"/>
      <c r="AH44" s="367"/>
      <c r="AK44" s="367"/>
      <c r="AL44" s="367"/>
    </row>
    <row r="45" spans="1:38" ht="12.75" customHeight="1" x14ac:dyDescent="0.25">
      <c r="A45" s="317"/>
      <c r="B45" s="310"/>
      <c r="C45" s="306" t="s">
        <v>401</v>
      </c>
      <c r="D45" s="310"/>
      <c r="E45" s="310"/>
      <c r="F45" s="310"/>
      <c r="G45" s="310"/>
      <c r="H45" s="310"/>
      <c r="I45" s="419"/>
      <c r="J45" s="323"/>
      <c r="K45" s="308"/>
      <c r="L45" s="312">
        <f>ROUND((VLOOKUP($J$18+J23+J26+J27+J28+J39+J40+J44+J45,TabelLøn,+L11,1)-VLOOKUP($J$18+J23+J26+J27+J28+J39+J40+J44,TabelLøn,+L11,1))*BeskGradNyLøn,2)</f>
        <v>0</v>
      </c>
      <c r="M45" s="313">
        <f>L45*12</f>
        <v>0</v>
      </c>
      <c r="N45" s="322"/>
      <c r="O45" s="322"/>
      <c r="P45" s="322"/>
      <c r="Q45" s="322"/>
      <c r="S45" s="675"/>
      <c r="T45" s="676"/>
      <c r="U45" s="676"/>
      <c r="V45" s="676"/>
      <c r="W45" s="676"/>
      <c r="X45" s="676"/>
      <c r="Y45" s="676"/>
      <c r="Z45" s="676"/>
      <c r="AA45" s="676"/>
      <c r="AB45" s="676"/>
      <c r="AC45" s="676"/>
      <c r="AD45" s="677"/>
      <c r="AF45" s="367"/>
      <c r="AG45" s="474" t="e">
        <f>+VLOOKUP(Y14,Vejledning!A:AP,34,1)</f>
        <v>#N/A</v>
      </c>
      <c r="AH45" s="367"/>
      <c r="AI45" s="474" t="e">
        <f>+VLOOKUP(Y14,Vejledning!A:AV,35,1)</f>
        <v>#N/A</v>
      </c>
      <c r="AK45" s="367"/>
      <c r="AL45" s="367"/>
    </row>
    <row r="46" spans="1:38" ht="12.75" customHeight="1" x14ac:dyDescent="0.25">
      <c r="A46" s="317"/>
      <c r="B46" s="310"/>
      <c r="C46" s="306" t="s">
        <v>401</v>
      </c>
      <c r="D46" s="310"/>
      <c r="E46" s="310"/>
      <c r="F46" s="310"/>
      <c r="G46" s="310"/>
      <c r="H46" s="310"/>
      <c r="I46" s="419"/>
      <c r="J46" s="323"/>
      <c r="K46" s="308"/>
      <c r="L46" s="312">
        <f>ROUND((VLOOKUP($J$18+J23+J26+J27+J28+J39+J40+J44+J45+J46,TabelLøn,+L11,1)-VLOOKUP($J$18+J23+J26+J27+J28+J39+J40+J44+J45,TabelLøn,+L11,1))*BeskGradNyLøn,2)</f>
        <v>0</v>
      </c>
      <c r="M46" s="313">
        <f>L46*12</f>
        <v>0</v>
      </c>
      <c r="N46" s="322"/>
      <c r="O46" s="322"/>
      <c r="P46" s="322"/>
      <c r="Q46" s="322"/>
      <c r="S46" s="675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7"/>
      <c r="AF46" s="367"/>
      <c r="AH46" s="367"/>
      <c r="AK46" s="367"/>
      <c r="AL46" s="367"/>
    </row>
    <row r="47" spans="1:38" ht="12.75" customHeight="1" x14ac:dyDescent="0.25">
      <c r="A47" s="619"/>
      <c r="B47" s="310"/>
      <c r="C47" s="306" t="s">
        <v>401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ROUND((VLOOKUP($J$18+J23+J26+J27+J28+J39+J40+J44+J45+J46+J47,TabelLøn,+L11,1)-VLOOKUP($J$18+J23+J26+J27+J28+J39+J40+J44+J45+J46,TabelLøn,+L11,1))*BeskGradNyLøn,2)</f>
        <v>0</v>
      </c>
      <c r="M47" s="313">
        <f>L47*12</f>
        <v>0</v>
      </c>
      <c r="N47" s="322"/>
      <c r="O47" s="322"/>
      <c r="P47" s="322"/>
      <c r="Q47" s="322"/>
      <c r="S47" s="616"/>
      <c r="T47" s="617"/>
      <c r="U47" s="617"/>
      <c r="V47" s="617"/>
      <c r="W47" s="617"/>
      <c r="X47" s="617"/>
      <c r="Y47" s="617"/>
      <c r="Z47" s="617"/>
      <c r="AA47" s="617"/>
      <c r="AB47" s="617"/>
      <c r="AC47" s="617"/>
      <c r="AD47" s="618"/>
      <c r="AF47" s="367"/>
      <c r="AH47" s="367"/>
      <c r="AK47" s="367"/>
      <c r="AL47" s="367"/>
    </row>
    <row r="48" spans="1:38" ht="12.75" customHeight="1" x14ac:dyDescent="0.25">
      <c r="A48" s="619"/>
      <c r="B48" s="310"/>
      <c r="C48" s="306" t="s">
        <v>401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ROUND((VLOOKUP($J$18+J23+J26+J27+J28+J39+J40+J44+J45+J46+J47+J48,TabelLøn,+L11,1)-VLOOKUP($J$18+J23+J26+J27+J28+J39+J40+J44+J45+J46+J47,TabelLøn,+L11,1))*BeskGradNyLøn,2)</f>
        <v>0</v>
      </c>
      <c r="M48" s="313">
        <f>L48*12</f>
        <v>0</v>
      </c>
      <c r="N48" s="322"/>
      <c r="O48" s="322"/>
      <c r="P48" s="322"/>
      <c r="Q48" s="322"/>
      <c r="S48" s="616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8"/>
      <c r="AF48" s="367"/>
      <c r="AH48" s="367"/>
      <c r="AK48" s="367"/>
      <c r="AL48" s="367"/>
    </row>
    <row r="49" spans="1:38" ht="12.75" customHeight="1" x14ac:dyDescent="0.25">
      <c r="A49" s="317"/>
      <c r="B49" s="310"/>
      <c r="C49" s="306" t="s">
        <v>401</v>
      </c>
      <c r="D49" s="310"/>
      <c r="E49" s="310"/>
      <c r="F49" s="310"/>
      <c r="G49" s="310"/>
      <c r="H49" s="310"/>
      <c r="I49" s="418"/>
      <c r="J49" s="323"/>
      <c r="K49" s="308"/>
      <c r="L49" s="312">
        <f>ROUND((VLOOKUP($J$18+J23+J26+J27+J28+J39+J40+J44+J45+J46+J47+J48+J49,TabelLøn,+L11,1)-VLOOKUP($J$18+J23+J26+J27+J28+J39+J40+J44+J45+J46+J47+J48,TabelLøn,+L11,1))*BeskGradNyLøn,2)</f>
        <v>0</v>
      </c>
      <c r="M49" s="313">
        <f t="shared" si="3"/>
        <v>0</v>
      </c>
      <c r="N49" s="322"/>
      <c r="O49" s="322"/>
      <c r="P49" s="322"/>
      <c r="Q49" s="322"/>
      <c r="S49" s="675"/>
      <c r="T49" s="676"/>
      <c r="U49" s="676"/>
      <c r="V49" s="676"/>
      <c r="W49" s="676"/>
      <c r="X49" s="676"/>
      <c r="Y49" s="676"/>
      <c r="Z49" s="676"/>
      <c r="AA49" s="676"/>
      <c r="AB49" s="676"/>
      <c r="AC49" s="676"/>
      <c r="AD49" s="677"/>
      <c r="AF49" s="367"/>
      <c r="AG49" s="474" t="e">
        <f>+VLOOKUP(Y14,Vejledning!A:AP,36,1)</f>
        <v>#N/A</v>
      </c>
      <c r="AH49" s="367"/>
      <c r="AI49" s="474" t="e">
        <f>+VLOOKUP(Y14,Vejledning!A:AV,37,1)</f>
        <v>#N/A</v>
      </c>
      <c r="AK49" s="367"/>
      <c r="AL49" s="367"/>
    </row>
    <row r="50" spans="1:38" ht="12.75" customHeight="1" x14ac:dyDescent="0.25">
      <c r="A50" s="317"/>
      <c r="B50" s="310"/>
      <c r="C50" s="306" t="s">
        <v>402</v>
      </c>
      <c r="D50" s="310"/>
      <c r="E50" s="310"/>
      <c r="F50" s="310"/>
      <c r="G50" s="310"/>
      <c r="H50" s="318"/>
      <c r="I50" s="316"/>
      <c r="J50" s="422"/>
      <c r="K50" s="308"/>
      <c r="L50" s="312">
        <f>IF(P50=1,ROUND(I50/12*BeskGradNyLøn*(1+PctRegNyLøn%),2),(ROUND((1+PctRegNyLøn%)*I50/12,2)))</f>
        <v>0</v>
      </c>
      <c r="M50" s="313">
        <f>L50*12</f>
        <v>0</v>
      </c>
      <c r="N50" s="322"/>
      <c r="O50" s="596"/>
      <c r="P50" s="592">
        <f>IF(O50="x",0,1)</f>
        <v>1</v>
      </c>
      <c r="Q50" s="322"/>
      <c r="S50" s="675"/>
      <c r="T50" s="676"/>
      <c r="U50" s="676"/>
      <c r="V50" s="676"/>
      <c r="W50" s="676"/>
      <c r="X50" s="676"/>
      <c r="Y50" s="676"/>
      <c r="Z50" s="676"/>
      <c r="AA50" s="676"/>
      <c r="AB50" s="676"/>
      <c r="AC50" s="676"/>
      <c r="AD50" s="677"/>
      <c r="AF50" s="367"/>
      <c r="AH50" s="367"/>
      <c r="AK50" s="367"/>
      <c r="AL50" s="367"/>
    </row>
    <row r="51" spans="1:38" ht="12.75" customHeight="1" x14ac:dyDescent="0.25">
      <c r="A51" s="317"/>
      <c r="B51" s="310"/>
      <c r="C51" s="306" t="s">
        <v>402</v>
      </c>
      <c r="D51" s="310"/>
      <c r="E51" s="310"/>
      <c r="F51" s="310"/>
      <c r="G51" s="310"/>
      <c r="H51" s="318"/>
      <c r="I51" s="316"/>
      <c r="J51" s="423"/>
      <c r="K51" s="308"/>
      <c r="L51" s="312">
        <f>IF(P51=1,ROUND(I51/12*BeskGradNyLøn*(1+PctRegNyLøn%),2),(ROUND((1+PctRegNyLøn%)*I51/12,2)))</f>
        <v>0</v>
      </c>
      <c r="M51" s="313">
        <f>L51*12</f>
        <v>0</v>
      </c>
      <c r="N51" s="322"/>
      <c r="O51" s="596"/>
      <c r="P51" s="592">
        <f>IF(O51="x",0,1)</f>
        <v>1</v>
      </c>
      <c r="Q51" s="322"/>
      <c r="S51" s="675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7"/>
      <c r="AF51" s="367"/>
      <c r="AH51" s="367"/>
      <c r="AK51" s="367"/>
      <c r="AL51" s="367"/>
    </row>
    <row r="52" spans="1:38" ht="12.75" customHeight="1" x14ac:dyDescent="0.25">
      <c r="A52" s="317"/>
      <c r="B52" s="310"/>
      <c r="C52" s="306" t="s">
        <v>402</v>
      </c>
      <c r="D52" s="310"/>
      <c r="E52" s="310"/>
      <c r="F52" s="310"/>
      <c r="G52" s="310"/>
      <c r="H52" s="318"/>
      <c r="I52" s="316"/>
      <c r="J52" s="423"/>
      <c r="K52" s="308"/>
      <c r="L52" s="312">
        <f>IF(P52=1,ROUND(I52/12*BeskGradNyLøn*(1+PctRegNyLøn%),2),(ROUND((1+PctRegNyLøn%)*I52/12,2)))</f>
        <v>0</v>
      </c>
      <c r="M52" s="313">
        <f t="shared" si="3"/>
        <v>0</v>
      </c>
      <c r="N52" s="322"/>
      <c r="O52" s="596"/>
      <c r="P52" s="592">
        <f>IF(O52="x",0,1)</f>
        <v>1</v>
      </c>
      <c r="Q52" s="322"/>
      <c r="S52" s="675"/>
      <c r="T52" s="676"/>
      <c r="U52" s="676"/>
      <c r="V52" s="676"/>
      <c r="W52" s="676"/>
      <c r="X52" s="676"/>
      <c r="Y52" s="676"/>
      <c r="Z52" s="676"/>
      <c r="AA52" s="676"/>
      <c r="AB52" s="676"/>
      <c r="AC52" s="676"/>
      <c r="AD52" s="677"/>
      <c r="AF52" s="367"/>
      <c r="AG52" s="474" t="e">
        <f>+VLOOKUP(Y14,Vejledning!A:AP,40,1)</f>
        <v>#N/A</v>
      </c>
      <c r="AH52" s="367"/>
      <c r="AI52" s="474" t="e">
        <f>+VLOOKUP(Y14,Vejledning!A:AV,41,1)</f>
        <v>#N/A</v>
      </c>
      <c r="AK52" s="367"/>
      <c r="AL52" s="367"/>
    </row>
    <row r="53" spans="1:38" ht="6" customHeight="1" x14ac:dyDescent="0.25">
      <c r="A53" s="317"/>
      <c r="B53" s="310"/>
      <c r="C53" s="306"/>
      <c r="D53" s="306"/>
      <c r="E53" s="306"/>
      <c r="F53" s="306"/>
      <c r="G53" s="306"/>
      <c r="H53" s="306"/>
      <c r="I53" s="306"/>
      <c r="J53" s="331"/>
      <c r="K53" s="308"/>
      <c r="L53" s="306"/>
      <c r="M53" s="306"/>
      <c r="N53" s="306"/>
      <c r="O53" s="306"/>
      <c r="P53" s="306"/>
      <c r="Q53" s="306"/>
      <c r="R53" s="306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F53" s="367"/>
      <c r="AH53" s="367"/>
      <c r="AK53" s="367"/>
      <c r="AL53" s="367"/>
    </row>
    <row r="54" spans="1:38" ht="12.75" customHeight="1" x14ac:dyDescent="0.25">
      <c r="A54" s="317"/>
      <c r="B54" s="314" t="s">
        <v>411</v>
      </c>
      <c r="C54" s="320"/>
      <c r="D54" s="320"/>
      <c r="E54" s="320"/>
      <c r="F54" s="320"/>
      <c r="G54" s="320"/>
      <c r="H54" s="321"/>
      <c r="I54" s="360">
        <f>SUM(I18:I53)</f>
        <v>0</v>
      </c>
      <c r="J54" s="361">
        <f>SUM(J18:J53)</f>
        <v>0</v>
      </c>
      <c r="K54" s="426"/>
      <c r="L54" s="344">
        <f>SUM(L18:L53)</f>
        <v>0</v>
      </c>
      <c r="M54" s="313">
        <f>SUM(M18:M53)</f>
        <v>0</v>
      </c>
      <c r="N54" s="322"/>
      <c r="O54" s="322"/>
      <c r="P54" s="322"/>
      <c r="Q54" s="322"/>
      <c r="U54" s="319"/>
      <c r="V54" s="319"/>
      <c r="AF54" s="367"/>
      <c r="AG54" s="494"/>
      <c r="AH54" s="367"/>
      <c r="AI54" s="764"/>
      <c r="AJ54" s="764"/>
      <c r="AK54" s="367"/>
      <c r="AL54" s="367"/>
    </row>
    <row r="55" spans="1:38" ht="6" customHeight="1" x14ac:dyDescent="0.25">
      <c r="A55" s="317"/>
      <c r="B55" s="310"/>
      <c r="C55" s="306"/>
      <c r="D55" s="306"/>
      <c r="E55" s="306"/>
      <c r="F55" s="306"/>
      <c r="G55" s="306"/>
      <c r="H55" s="306"/>
      <c r="I55" s="306"/>
      <c r="J55" s="331"/>
      <c r="K55" s="331"/>
      <c r="L55" s="306"/>
      <c r="M55" s="306"/>
      <c r="N55" s="306"/>
      <c r="O55" s="306"/>
      <c r="P55" s="306"/>
      <c r="Q55" s="306"/>
      <c r="R55" s="306"/>
      <c r="S55" s="335"/>
      <c r="T55" s="335"/>
      <c r="U55" s="319"/>
      <c r="V55" s="319"/>
      <c r="W55" s="335"/>
      <c r="X55" s="335"/>
      <c r="Y55" s="335"/>
      <c r="Z55" s="335"/>
      <c r="AA55" s="335"/>
      <c r="AB55" s="335"/>
      <c r="AC55" s="335"/>
      <c r="AD55" s="335"/>
      <c r="AF55" s="367"/>
      <c r="AH55" s="367"/>
      <c r="AI55" s="764"/>
      <c r="AJ55" s="764"/>
      <c r="AK55" s="367"/>
      <c r="AL55" s="367"/>
    </row>
    <row r="56" spans="1:38" ht="12.75" customHeight="1" x14ac:dyDescent="0.25">
      <c r="A56" s="317"/>
      <c r="B56" s="328" t="s">
        <v>412</v>
      </c>
      <c r="C56" s="328" t="s">
        <v>22</v>
      </c>
      <c r="D56" s="310"/>
      <c r="E56" s="310"/>
      <c r="F56" s="310"/>
      <c r="G56" s="310"/>
      <c r="H56" s="310"/>
      <c r="I56" s="342"/>
      <c r="J56" s="331"/>
      <c r="K56" s="332"/>
      <c r="L56" s="312">
        <f>ROUND(VLOOKUP(J54,TabelLønninger,+M11,2)*I12/100/12*BeskGradNyLøn,2)+(I12/100*(L19+L24+L29+L30+L31+L32+L41+L42+L50+L51+L52))</f>
        <v>0</v>
      </c>
      <c r="M56" s="313">
        <f>L56*12</f>
        <v>0</v>
      </c>
      <c r="N56" s="322"/>
      <c r="O56" s="322"/>
      <c r="P56" s="322"/>
      <c r="Q56" s="322"/>
      <c r="U56" s="319"/>
      <c r="V56" s="319"/>
      <c r="AF56" s="367"/>
      <c r="AH56" s="367"/>
      <c r="AK56" s="367"/>
      <c r="AL56" s="367"/>
    </row>
    <row r="57" spans="1:38" ht="12.75" customHeight="1" x14ac:dyDescent="0.25">
      <c r="A57" s="317"/>
      <c r="B57" s="314" t="s">
        <v>407</v>
      </c>
      <c r="C57" s="328"/>
      <c r="D57" s="320"/>
      <c r="E57" s="320"/>
      <c r="F57" s="320"/>
      <c r="G57" s="320"/>
      <c r="H57" s="320"/>
      <c r="I57" s="342"/>
      <c r="J57" s="362"/>
      <c r="K57" s="343"/>
      <c r="L57" s="344">
        <f>SUM(L54:L56)</f>
        <v>0</v>
      </c>
      <c r="M57" s="345">
        <f>SUM(M54:M56)</f>
        <v>0</v>
      </c>
      <c r="N57" s="363"/>
      <c r="O57" s="363"/>
      <c r="P57" s="363"/>
      <c r="Q57" s="363"/>
      <c r="U57" s="322"/>
      <c r="V57" s="322"/>
      <c r="AF57" s="367"/>
      <c r="AH57" s="367"/>
      <c r="AI57" s="491"/>
      <c r="AJ57" s="491"/>
      <c r="AK57" s="367"/>
      <c r="AL57" s="367"/>
    </row>
    <row r="58" spans="1:38" ht="8.25" customHeight="1" x14ac:dyDescent="0.25">
      <c r="A58" s="317"/>
      <c r="B58" s="314"/>
      <c r="C58" s="328"/>
      <c r="D58" s="320"/>
      <c r="E58" s="320"/>
      <c r="F58" s="320"/>
      <c r="G58" s="320"/>
      <c r="H58" s="320"/>
      <c r="I58" s="342"/>
      <c r="J58" s="362"/>
      <c r="K58" s="362"/>
      <c r="L58" s="363"/>
      <c r="M58" s="363"/>
      <c r="N58" s="363"/>
      <c r="O58" s="363"/>
      <c r="P58" s="363"/>
      <c r="Q58" s="363"/>
      <c r="U58" s="322"/>
      <c r="V58" s="322"/>
      <c r="AF58" s="367"/>
      <c r="AG58" s="765"/>
      <c r="AH58" s="765"/>
      <c r="AI58" s="765"/>
      <c r="AJ58" s="765"/>
      <c r="AK58" s="367"/>
      <c r="AL58" s="367"/>
    </row>
    <row r="59" spans="1:38" ht="12" customHeight="1" x14ac:dyDescent="0.25">
      <c r="A59" s="317"/>
      <c r="B59" s="770" t="s">
        <v>7</v>
      </c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709"/>
      <c r="U59" s="709"/>
      <c r="V59" s="709"/>
      <c r="W59" s="709"/>
      <c r="X59" s="709"/>
      <c r="Y59" s="709"/>
      <c r="Z59" s="709"/>
      <c r="AA59" s="709"/>
      <c r="AB59" s="709"/>
      <c r="AC59" s="709"/>
      <c r="AD59" s="771"/>
      <c r="AF59" s="367"/>
      <c r="AG59" s="765"/>
      <c r="AH59" s="765"/>
      <c r="AI59" s="765"/>
      <c r="AJ59" s="765"/>
      <c r="AK59" s="367"/>
      <c r="AL59" s="367"/>
    </row>
    <row r="60" spans="1:38" ht="12" customHeight="1" x14ac:dyDescent="0.25">
      <c r="A60" s="317"/>
      <c r="B60" s="712"/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772"/>
      <c r="Y60" s="772"/>
      <c r="Z60" s="772"/>
      <c r="AA60" s="772"/>
      <c r="AB60" s="772"/>
      <c r="AC60" s="772"/>
      <c r="AD60" s="773"/>
      <c r="AF60" s="367"/>
      <c r="AG60" s="488"/>
      <c r="AH60" s="488"/>
      <c r="AI60" s="492"/>
      <c r="AJ60" s="492"/>
      <c r="AK60" s="367"/>
      <c r="AL60" s="367"/>
    </row>
    <row r="61" spans="1:38" ht="12" customHeight="1" x14ac:dyDescent="0.25">
      <c r="A61" s="317"/>
      <c r="B61" s="712"/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2"/>
      <c r="AA61" s="772"/>
      <c r="AB61" s="772"/>
      <c r="AC61" s="772"/>
      <c r="AD61" s="773"/>
      <c r="AF61" s="367"/>
      <c r="AG61" s="488"/>
      <c r="AH61" s="488"/>
      <c r="AI61" s="492"/>
      <c r="AJ61" s="492"/>
      <c r="AK61" s="367"/>
      <c r="AL61" s="367"/>
    </row>
    <row r="62" spans="1:38" ht="12" customHeight="1" x14ac:dyDescent="0.25">
      <c r="A62" s="317"/>
      <c r="B62" s="774"/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5"/>
      <c r="R62" s="775"/>
      <c r="S62" s="775"/>
      <c r="T62" s="775"/>
      <c r="U62" s="775"/>
      <c r="V62" s="775"/>
      <c r="W62" s="775"/>
      <c r="X62" s="775"/>
      <c r="Y62" s="775"/>
      <c r="Z62" s="775"/>
      <c r="AA62" s="775"/>
      <c r="AB62" s="775"/>
      <c r="AC62" s="775"/>
      <c r="AD62" s="776"/>
      <c r="AF62" s="367"/>
      <c r="AG62" s="488"/>
      <c r="AH62" s="488"/>
      <c r="AI62" s="492"/>
      <c r="AJ62" s="492"/>
      <c r="AK62" s="367"/>
      <c r="AL62" s="367"/>
    </row>
    <row r="63" spans="1:38" ht="12.75" customHeight="1" x14ac:dyDescent="0.25">
      <c r="C63" s="364" t="s">
        <v>449</v>
      </c>
      <c r="AF63" s="367"/>
      <c r="AG63" s="488"/>
      <c r="AH63" s="488"/>
      <c r="AI63" s="492"/>
      <c r="AJ63" s="492"/>
      <c r="AK63" s="367"/>
      <c r="AL63" s="367"/>
    </row>
    <row r="64" spans="1:38" ht="3.75" customHeight="1" x14ac:dyDescent="0.25">
      <c r="AF64" s="367"/>
      <c r="AG64" s="489"/>
      <c r="AH64" s="489"/>
      <c r="AI64" s="492"/>
      <c r="AJ64" s="492"/>
      <c r="AK64" s="367"/>
      <c r="AL64" s="367"/>
    </row>
    <row r="65" spans="1:41" s="352" customFormat="1" ht="12.75" customHeight="1" x14ac:dyDescent="0.2">
      <c r="B65" s="767" t="s">
        <v>9</v>
      </c>
      <c r="C65" s="768"/>
      <c r="D65" s="768"/>
      <c r="E65" s="754"/>
      <c r="F65" s="754"/>
      <c r="G65" s="754"/>
      <c r="H65" s="754"/>
      <c r="I65" s="754"/>
      <c r="J65" s="754"/>
      <c r="K65" s="754"/>
      <c r="L65" s="754"/>
      <c r="M65" s="767" t="s">
        <v>9</v>
      </c>
      <c r="N65" s="768"/>
      <c r="O65" s="768"/>
      <c r="P65" s="768"/>
      <c r="Q65" s="768"/>
      <c r="R65" s="768"/>
      <c r="S65" s="768"/>
      <c r="T65" s="768"/>
      <c r="U65" s="391"/>
      <c r="V65" s="754"/>
      <c r="W65" s="754"/>
      <c r="X65" s="754"/>
      <c r="Y65" s="754"/>
      <c r="Z65" s="754"/>
      <c r="AA65" s="754"/>
      <c r="AB65" s="754"/>
      <c r="AC65" s="754"/>
      <c r="AD65" s="755"/>
      <c r="AF65" s="369"/>
      <c r="AG65" s="739" t="s">
        <v>722</v>
      </c>
      <c r="AH65" s="739"/>
      <c r="AI65" s="739"/>
      <c r="AJ65" s="739"/>
      <c r="AK65" s="369"/>
      <c r="AL65" s="369"/>
    </row>
    <row r="66" spans="1:41" ht="21" customHeight="1" x14ac:dyDescent="0.25">
      <c r="B66" s="756"/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6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757"/>
      <c r="Y66" s="757"/>
      <c r="Z66" s="757"/>
      <c r="AA66" s="757"/>
      <c r="AB66" s="757"/>
      <c r="AC66" s="757"/>
      <c r="AD66" s="766"/>
      <c r="AF66" s="367"/>
      <c r="AG66" s="739" t="s">
        <v>721</v>
      </c>
      <c r="AH66" s="739"/>
      <c r="AI66" s="739"/>
      <c r="AJ66" s="739"/>
      <c r="AK66" s="367"/>
      <c r="AL66" s="367"/>
    </row>
    <row r="67" spans="1:41" ht="23.25" customHeight="1" x14ac:dyDescent="0.25">
      <c r="B67" s="685" t="s">
        <v>754</v>
      </c>
      <c r="C67" s="685"/>
      <c r="D67" s="685"/>
      <c r="E67" s="685"/>
      <c r="F67" s="685"/>
      <c r="G67" s="685"/>
      <c r="H67" s="685"/>
      <c r="I67" s="685"/>
      <c r="J67" s="354"/>
      <c r="K67" s="354"/>
      <c r="L67" s="353"/>
      <c r="M67" s="354" t="s">
        <v>774</v>
      </c>
      <c r="N67" s="584"/>
      <c r="O67" s="584"/>
      <c r="P67" s="584"/>
      <c r="Q67" s="584"/>
      <c r="R67" s="353"/>
      <c r="S67" s="354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F67" s="367"/>
      <c r="AG67" s="763" t="s">
        <v>720</v>
      </c>
      <c r="AH67" s="763"/>
      <c r="AI67" s="763"/>
      <c r="AJ67" s="763"/>
      <c r="AK67" s="367"/>
      <c r="AL67" s="367"/>
    </row>
    <row r="69" spans="1:41" ht="12.75" customHeight="1" x14ac:dyDescent="0.25">
      <c r="A69" s="303"/>
      <c r="B69" s="303"/>
      <c r="L69" s="305"/>
      <c r="M69" s="305"/>
      <c r="N69" s="305"/>
      <c r="O69" s="305"/>
      <c r="P69" s="305"/>
      <c r="Q69" s="305"/>
      <c r="S69" s="740" t="s">
        <v>732</v>
      </c>
      <c r="T69" s="740"/>
      <c r="U69" s="740"/>
      <c r="V69" s="740"/>
      <c r="W69" s="740"/>
      <c r="X69" s="740"/>
      <c r="Y69" s="740"/>
      <c r="Z69" s="740"/>
      <c r="AA69" s="740"/>
      <c r="AB69" s="740"/>
      <c r="AC69" s="740"/>
      <c r="AD69" s="740"/>
      <c r="AE69" s="371"/>
      <c r="AF69" s="371"/>
      <c r="AG69" s="472"/>
      <c r="AH69" s="371"/>
      <c r="AI69" s="490"/>
      <c r="AJ69" s="490"/>
      <c r="AK69" s="371"/>
      <c r="AL69" s="371"/>
      <c r="AM69" s="371"/>
      <c r="AN69" s="371"/>
      <c r="AO69" s="371"/>
    </row>
    <row r="70" spans="1:41" ht="19.5" customHeight="1" x14ac:dyDescent="0.35">
      <c r="A70" s="365"/>
      <c r="B70" s="506" t="s">
        <v>445</v>
      </c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740"/>
      <c r="T70" s="740"/>
      <c r="U70" s="740"/>
      <c r="V70" s="740"/>
      <c r="W70" s="740"/>
      <c r="X70" s="740"/>
      <c r="Y70" s="740"/>
      <c r="Z70" s="740"/>
      <c r="AA70" s="740"/>
      <c r="AB70" s="740"/>
      <c r="AC70" s="740"/>
      <c r="AD70" s="740"/>
      <c r="AF70" s="367"/>
      <c r="AH70" s="367"/>
      <c r="AI70" s="491"/>
      <c r="AJ70" s="491"/>
      <c r="AK70" s="367"/>
      <c r="AL70" s="367"/>
    </row>
    <row r="71" spans="1:41" ht="13.5" customHeight="1" x14ac:dyDescent="0.25">
      <c r="A71" s="742"/>
      <c r="B71" s="742"/>
      <c r="C71" s="742"/>
      <c r="D71" s="742"/>
      <c r="E71" s="742"/>
      <c r="F71" s="742"/>
      <c r="G71" s="742"/>
      <c r="H71" s="742"/>
      <c r="I71" s="742"/>
      <c r="J71" s="742"/>
      <c r="K71" s="742"/>
      <c r="L71" s="742"/>
      <c r="M71" s="742"/>
      <c r="N71" s="585"/>
      <c r="O71" s="585"/>
      <c r="P71" s="585"/>
      <c r="Q71" s="585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F71" s="367"/>
      <c r="AH71" s="367"/>
      <c r="AI71" s="491"/>
      <c r="AJ71" s="491"/>
      <c r="AK71" s="367"/>
      <c r="AL71" s="367"/>
    </row>
    <row r="72" spans="1:41" ht="12.75" customHeight="1" x14ac:dyDescent="0.25">
      <c r="A72" s="317"/>
      <c r="B72" s="358" t="s">
        <v>66</v>
      </c>
      <c r="C72" s="310" t="s">
        <v>446</v>
      </c>
      <c r="D72" s="310"/>
      <c r="E72" s="310"/>
      <c r="F72" s="310"/>
      <c r="G72" s="310"/>
      <c r="H72" s="318"/>
      <c r="I72" s="675"/>
      <c r="J72" s="676"/>
      <c r="K72" s="676"/>
      <c r="L72" s="676"/>
      <c r="M72" s="677"/>
      <c r="N72" s="590"/>
      <c r="O72" s="590"/>
      <c r="P72" s="590"/>
      <c r="Q72" s="590"/>
      <c r="S72" s="306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31"/>
      <c r="AF72" s="367"/>
      <c r="AH72" s="367"/>
      <c r="AI72" s="491"/>
      <c r="AJ72" s="491"/>
      <c r="AK72" s="367"/>
      <c r="AL72" s="367"/>
    </row>
    <row r="73" spans="1:41" ht="12.75" customHeight="1" x14ac:dyDescent="0.25">
      <c r="A73" s="317"/>
      <c r="B73" s="358" t="s">
        <v>90</v>
      </c>
      <c r="C73" s="310"/>
      <c r="D73" s="310"/>
      <c r="E73" s="310"/>
      <c r="F73" s="310"/>
      <c r="G73" s="310"/>
      <c r="H73" s="318"/>
      <c r="I73" s="324">
        <v>37</v>
      </c>
      <c r="J73" s="355"/>
      <c r="K73" s="424"/>
      <c r="L73" s="413" t="s">
        <v>410</v>
      </c>
      <c r="M73" s="570">
        <v>37</v>
      </c>
      <c r="N73" s="591"/>
      <c r="O73" s="591"/>
      <c r="P73" s="591"/>
      <c r="Q73" s="591"/>
      <c r="R73" s="356">
        <f>I73/MAX(M73,1)</f>
        <v>1</v>
      </c>
      <c r="S73" s="306"/>
      <c r="T73" s="375"/>
      <c r="U73" s="394"/>
      <c r="V73" s="394"/>
      <c r="W73" s="395"/>
      <c r="X73" s="395"/>
      <c r="Y73" s="395"/>
      <c r="Z73" s="395"/>
      <c r="AA73" s="395"/>
      <c r="AB73" s="395"/>
      <c r="AC73" s="395"/>
      <c r="AD73" s="395"/>
      <c r="AF73" s="367"/>
      <c r="AH73" s="367"/>
      <c r="AI73" s="491"/>
      <c r="AJ73" s="491"/>
      <c r="AK73" s="367"/>
      <c r="AL73" s="367"/>
    </row>
    <row r="74" spans="1:41" ht="12.75" customHeight="1" x14ac:dyDescent="0.25">
      <c r="A74" s="317"/>
      <c r="B74" s="359"/>
      <c r="C74" s="314"/>
      <c r="D74" s="314"/>
      <c r="E74" s="314"/>
      <c r="F74" s="314"/>
      <c r="G74" s="314"/>
      <c r="H74" s="314"/>
      <c r="I74" s="417">
        <f>+IF(+Y77=7101,4,+IF(+Y77=7001,3,+IF(+Y77=3101,1,0)))</f>
        <v>0</v>
      </c>
      <c r="J74" s="577"/>
      <c r="K74" s="577"/>
      <c r="L74" s="580">
        <f>+IF(+I74=0,4,+(IF(+I74=1,7,+IF(+I74=3,14,+IF(+I74=4,18,4)))))</f>
        <v>4</v>
      </c>
      <c r="M74" s="581">
        <f>+IF(+I74=0,2,+(IF(+I74=1,6,+IF(+I74=3,12,+IF(+I74=4,16,2)))))</f>
        <v>2</v>
      </c>
      <c r="N74" s="581"/>
      <c r="O74" s="581"/>
      <c r="P74" s="581"/>
      <c r="Q74" s="581"/>
      <c r="R74" s="503"/>
      <c r="S74" s="306"/>
      <c r="T74" s="375"/>
      <c r="U74" s="393"/>
      <c r="V74" s="394"/>
      <c r="W74" s="349"/>
      <c r="X74" s="349"/>
      <c r="Y74" s="349"/>
      <c r="Z74" s="349"/>
      <c r="AA74" s="349"/>
      <c r="AB74" s="349"/>
      <c r="AC74" s="349"/>
      <c r="AD74" s="349"/>
      <c r="AE74" s="325"/>
      <c r="AF74" s="370"/>
      <c r="AG74" s="473"/>
      <c r="AH74" s="370"/>
      <c r="AI74" s="368"/>
      <c r="AJ74" s="368"/>
      <c r="AK74" s="370"/>
      <c r="AL74" s="370"/>
    </row>
    <row r="75" spans="1:41" ht="12.75" customHeight="1" x14ac:dyDescent="0.25">
      <c r="A75" s="317"/>
      <c r="B75" s="359" t="s">
        <v>270</v>
      </c>
      <c r="C75" s="314"/>
      <c r="D75" s="314"/>
      <c r="E75" s="314"/>
      <c r="F75" s="314"/>
      <c r="G75" s="314"/>
      <c r="H75" s="315"/>
      <c r="I75" s="324"/>
      <c r="J75" s="339" t="s">
        <v>389</v>
      </c>
      <c r="K75" s="753" t="s">
        <v>400</v>
      </c>
      <c r="L75" s="753"/>
      <c r="M75" s="347">
        <f>VLOOKUP(+I74,TabelPctReg,2)</f>
        <v>34.464599999999997</v>
      </c>
      <c r="N75" s="347"/>
      <c r="O75" s="347"/>
      <c r="P75" s="347"/>
      <c r="Q75" s="347"/>
      <c r="S75" s="306"/>
      <c r="T75" s="306"/>
      <c r="U75" s="357"/>
      <c r="V75" s="357"/>
      <c r="W75" s="721"/>
      <c r="X75" s="721"/>
      <c r="Y75" s="721"/>
      <c r="Z75" s="721"/>
      <c r="AA75" s="721"/>
      <c r="AB75" s="721"/>
      <c r="AC75" s="721"/>
      <c r="AD75" s="721"/>
      <c r="AF75" s="367"/>
      <c r="AH75" s="367"/>
      <c r="AI75" s="491"/>
      <c r="AJ75" s="491"/>
      <c r="AK75" s="367"/>
      <c r="AL75" s="367"/>
    </row>
    <row r="76" spans="1:41" ht="12.75" customHeight="1" x14ac:dyDescent="0.25">
      <c r="A76" s="306"/>
      <c r="S76" s="366"/>
      <c r="T76" s="366"/>
      <c r="U76" s="366"/>
      <c r="V76" s="357"/>
      <c r="W76" s="357"/>
      <c r="X76" s="357"/>
      <c r="Y76" s="357"/>
      <c r="Z76" s="357"/>
      <c r="AA76" s="357"/>
      <c r="AB76" s="357"/>
      <c r="AC76" s="357"/>
      <c r="AD76" s="357"/>
      <c r="AF76" s="367"/>
      <c r="AH76" s="367"/>
      <c r="AI76" s="491"/>
      <c r="AJ76" s="491"/>
      <c r="AK76" s="367"/>
      <c r="AL76" s="367"/>
    </row>
    <row r="77" spans="1:41" ht="11.25" customHeight="1" x14ac:dyDescent="0.25">
      <c r="A77" s="307"/>
      <c r="B77" s="307"/>
      <c r="C77" s="307"/>
      <c r="D77" s="307"/>
      <c r="E77" s="307"/>
      <c r="F77" s="307"/>
      <c r="G77" s="307"/>
      <c r="H77" s="307"/>
      <c r="I77" s="337" t="s">
        <v>162</v>
      </c>
      <c r="J77" s="337" t="s">
        <v>21</v>
      </c>
      <c r="K77" s="337"/>
      <c r="L77" s="337" t="s">
        <v>234</v>
      </c>
      <c r="M77" s="350" t="s">
        <v>235</v>
      </c>
      <c r="N77" s="350"/>
      <c r="O77" s="350"/>
      <c r="P77" s="350"/>
      <c r="Q77" s="350"/>
      <c r="R77" s="308"/>
      <c r="S77" s="366"/>
      <c r="T77" s="349" t="s">
        <v>408</v>
      </c>
      <c r="U77" s="349"/>
      <c r="V77" s="348"/>
      <c r="W77" s="348"/>
      <c r="X77" s="348"/>
      <c r="Y77" s="736"/>
      <c r="Z77" s="737"/>
      <c r="AA77" s="737"/>
      <c r="AB77" s="737"/>
      <c r="AC77" s="738"/>
      <c r="AD77" s="357"/>
      <c r="AF77" s="368"/>
      <c r="AG77" s="473"/>
      <c r="AH77" s="368"/>
      <c r="AI77" s="368"/>
      <c r="AJ77" s="368"/>
      <c r="AK77" s="368"/>
      <c r="AL77" s="368"/>
    </row>
    <row r="78" spans="1:41" ht="11.25" customHeight="1" x14ac:dyDescent="0.2">
      <c r="A78" s="309"/>
      <c r="B78" s="309"/>
      <c r="C78" s="309"/>
      <c r="D78" s="309"/>
      <c r="E78" s="309"/>
      <c r="F78" s="309"/>
      <c r="G78" s="309"/>
      <c r="H78" s="309"/>
      <c r="I78" s="337" t="s">
        <v>163</v>
      </c>
      <c r="J78" s="337" t="s">
        <v>123</v>
      </c>
      <c r="K78" s="337"/>
      <c r="L78" s="338">
        <f>Dato1-0</f>
        <v>42736</v>
      </c>
      <c r="M78" s="351">
        <f>Dato1-0</f>
        <v>42736</v>
      </c>
      <c r="N78" s="351"/>
      <c r="O78" s="351"/>
      <c r="P78" s="351"/>
      <c r="Q78" s="351"/>
      <c r="R78" s="308"/>
      <c r="S78" s="306"/>
      <c r="T78" s="761" t="e">
        <f>+VLOOKUP(Y77,Vejledning!1:1048576,3,1)</f>
        <v>#N/A</v>
      </c>
      <c r="U78" s="761"/>
      <c r="V78" s="761"/>
      <c r="W78" s="761"/>
      <c r="X78" s="761"/>
      <c r="Y78" s="761"/>
      <c r="Z78" s="761"/>
      <c r="AA78" s="761"/>
      <c r="AB78" s="761"/>
      <c r="AC78" s="761"/>
      <c r="AD78" s="306"/>
      <c r="AF78" s="368"/>
      <c r="AG78" s="473"/>
      <c r="AH78" s="368"/>
      <c r="AI78" s="368"/>
      <c r="AJ78" s="368"/>
      <c r="AK78" s="368"/>
      <c r="AL78" s="368"/>
    </row>
    <row r="79" spans="1:41" ht="11.25" customHeight="1" x14ac:dyDescent="0.2">
      <c r="A79" s="310"/>
      <c r="B79" s="306"/>
      <c r="C79" s="306"/>
      <c r="D79" s="306"/>
      <c r="E79" s="306"/>
      <c r="F79" s="306"/>
      <c r="G79" s="306"/>
      <c r="H79" s="306"/>
      <c r="I79" s="338">
        <f>VLOOKUP(I74,TabelPctReg,3)</f>
        <v>36616</v>
      </c>
      <c r="J79" s="337"/>
      <c r="K79" s="337"/>
      <c r="L79" s="338" t="s">
        <v>399</v>
      </c>
      <c r="M79" s="351" t="s">
        <v>399</v>
      </c>
      <c r="N79" s="351"/>
      <c r="O79" s="351"/>
      <c r="P79" s="351"/>
      <c r="Q79" s="351"/>
      <c r="R79" s="311"/>
      <c r="S79" s="341"/>
      <c r="T79" s="761"/>
      <c r="U79" s="761"/>
      <c r="V79" s="761"/>
      <c r="W79" s="761"/>
      <c r="X79" s="761"/>
      <c r="Y79" s="761"/>
      <c r="Z79" s="761"/>
      <c r="AA79" s="761"/>
      <c r="AB79" s="761"/>
      <c r="AC79" s="761"/>
      <c r="AD79" s="389"/>
      <c r="AF79" s="368"/>
      <c r="AG79" s="473"/>
      <c r="AH79" s="368"/>
      <c r="AI79" s="368"/>
      <c r="AJ79" s="368"/>
      <c r="AK79" s="368"/>
      <c r="AL79" s="368"/>
    </row>
    <row r="80" spans="1:41" ht="6.75" customHeight="1" x14ac:dyDescent="0.25">
      <c r="A80" s="310"/>
      <c r="B80" s="306"/>
      <c r="C80" s="306"/>
      <c r="D80" s="306"/>
      <c r="E80" s="306"/>
      <c r="F80" s="306"/>
      <c r="G80" s="306"/>
      <c r="H80" s="306"/>
      <c r="I80" s="311"/>
      <c r="J80" s="334"/>
      <c r="K80" s="337"/>
      <c r="L80" s="336"/>
      <c r="M80" s="336"/>
      <c r="N80" s="311"/>
      <c r="O80" s="311"/>
      <c r="P80" s="311"/>
      <c r="Q80" s="311"/>
      <c r="R80" s="311"/>
      <c r="S80" s="374"/>
      <c r="T80" s="761"/>
      <c r="U80" s="761"/>
      <c r="V80" s="761"/>
      <c r="W80" s="761"/>
      <c r="X80" s="761"/>
      <c r="Y80" s="761"/>
      <c r="Z80" s="761"/>
      <c r="AA80" s="761"/>
      <c r="AB80" s="761"/>
      <c r="AC80" s="761"/>
      <c r="AD80" s="389"/>
      <c r="AF80" s="368"/>
      <c r="AG80" s="473"/>
      <c r="AH80" s="368"/>
      <c r="AI80" s="368"/>
      <c r="AJ80" s="368"/>
      <c r="AK80" s="368"/>
      <c r="AL80" s="368"/>
    </row>
    <row r="81" spans="1:38" ht="12.75" customHeight="1" x14ac:dyDescent="0.25">
      <c r="A81" s="317"/>
      <c r="B81" s="314" t="s">
        <v>391</v>
      </c>
      <c r="C81" s="314"/>
      <c r="D81" s="314"/>
      <c r="E81" s="314"/>
      <c r="F81" s="314"/>
      <c r="G81" s="314"/>
      <c r="H81" s="314"/>
      <c r="I81" s="418"/>
      <c r="J81" s="323"/>
      <c r="K81" s="337"/>
      <c r="L81" s="312">
        <f>ROUND(VLOOKUP(J81,TabelLøn,+L74,1)*(I73/M73),2)</f>
        <v>0</v>
      </c>
      <c r="M81" s="313">
        <f>L81*12</f>
        <v>0</v>
      </c>
      <c r="N81" s="322"/>
      <c r="O81" s="322"/>
      <c r="P81" s="322"/>
      <c r="Q81" s="322"/>
      <c r="S81" s="374"/>
      <c r="T81" s="761"/>
      <c r="U81" s="761"/>
      <c r="V81" s="761"/>
      <c r="W81" s="761"/>
      <c r="X81" s="761"/>
      <c r="Y81" s="761"/>
      <c r="Z81" s="761"/>
      <c r="AA81" s="761"/>
      <c r="AB81" s="761"/>
      <c r="AC81" s="761"/>
      <c r="AD81" s="389"/>
      <c r="AF81" s="368"/>
      <c r="AG81" s="473"/>
      <c r="AH81" s="368"/>
      <c r="AI81" s="368"/>
      <c r="AJ81" s="368"/>
      <c r="AK81" s="368"/>
      <c r="AL81" s="368"/>
    </row>
    <row r="82" spans="1:38" ht="12.75" customHeight="1" x14ac:dyDescent="0.25">
      <c r="A82" s="317"/>
      <c r="B82" s="314"/>
      <c r="C82" s="328" t="s">
        <v>390</v>
      </c>
      <c r="D82" s="314"/>
      <c r="E82" s="314"/>
      <c r="F82" s="314"/>
      <c r="G82" s="314"/>
      <c r="H82" s="315"/>
      <c r="I82" s="316"/>
      <c r="J82" s="427"/>
      <c r="K82" s="337"/>
      <c r="L82" s="312">
        <f>ROUND(I82/12*(I73/M73)*(1+PctRegNyLøn%),2)</f>
        <v>0</v>
      </c>
      <c r="M82" s="313">
        <f>L82*12</f>
        <v>0</v>
      </c>
      <c r="N82" s="322"/>
      <c r="O82" s="322"/>
      <c r="P82" s="322"/>
      <c r="Q82" s="322"/>
      <c r="S82" s="375"/>
      <c r="T82" s="761"/>
      <c r="U82" s="761"/>
      <c r="V82" s="761"/>
      <c r="W82" s="761"/>
      <c r="X82" s="761"/>
      <c r="Y82" s="761"/>
      <c r="Z82" s="761"/>
      <c r="AA82" s="761"/>
      <c r="AB82" s="761"/>
      <c r="AC82" s="761"/>
      <c r="AD82" s="375"/>
      <c r="AF82" s="367"/>
      <c r="AH82" s="367"/>
      <c r="AI82" s="491"/>
      <c r="AJ82" s="491"/>
      <c r="AK82" s="367"/>
      <c r="AL82" s="367"/>
    </row>
    <row r="83" spans="1:38" ht="6" customHeight="1" x14ac:dyDescent="0.25">
      <c r="A83" s="317"/>
      <c r="B83" s="317"/>
      <c r="C83" s="317"/>
      <c r="D83" s="317"/>
      <c r="E83" s="317"/>
      <c r="F83" s="317"/>
      <c r="G83" s="317"/>
      <c r="H83" s="317"/>
      <c r="I83" s="329"/>
      <c r="J83" s="308"/>
      <c r="K83" s="337"/>
      <c r="L83" s="329"/>
      <c r="M83" s="329"/>
      <c r="N83" s="586"/>
      <c r="O83" s="586"/>
      <c r="P83" s="586"/>
      <c r="Q83" s="586"/>
      <c r="R83" s="686" t="s">
        <v>425</v>
      </c>
      <c r="S83" s="686"/>
      <c r="T83" s="686"/>
      <c r="U83" s="686"/>
      <c r="V83" s="686"/>
      <c r="W83" s="686"/>
      <c r="X83" s="686"/>
      <c r="Y83" s="686"/>
      <c r="Z83" s="686"/>
      <c r="AA83" s="686"/>
      <c r="AB83" s="686"/>
      <c r="AC83" s="686"/>
      <c r="AD83" s="686"/>
      <c r="AE83" s="686"/>
      <c r="AF83" s="367"/>
      <c r="AH83" s="367"/>
      <c r="AI83" s="491"/>
      <c r="AJ83" s="491"/>
      <c r="AK83" s="367"/>
      <c r="AL83" s="367"/>
    </row>
    <row r="84" spans="1:38" ht="12.75" customHeight="1" x14ac:dyDescent="0.25">
      <c r="A84" s="317"/>
      <c r="B84" s="327" t="s">
        <v>145</v>
      </c>
      <c r="C84" s="327"/>
      <c r="D84" s="327"/>
      <c r="E84" s="310"/>
      <c r="F84" s="310"/>
      <c r="G84" s="310"/>
      <c r="H84" s="310"/>
      <c r="I84" s="310"/>
      <c r="J84" s="308"/>
      <c r="K84" s="337"/>
      <c r="L84" s="310"/>
      <c r="M84" s="310"/>
      <c r="N84" s="310"/>
      <c r="O84" s="310"/>
      <c r="P84" s="310"/>
      <c r="Q84" s="310"/>
      <c r="R84" s="686"/>
      <c r="S84" s="686"/>
      <c r="T84" s="686"/>
      <c r="U84" s="686"/>
      <c r="V84" s="686"/>
      <c r="W84" s="686"/>
      <c r="X84" s="686"/>
      <c r="Y84" s="686"/>
      <c r="Z84" s="686"/>
      <c r="AA84" s="686"/>
      <c r="AB84" s="686"/>
      <c r="AC84" s="686"/>
      <c r="AD84" s="686"/>
      <c r="AE84" s="686"/>
      <c r="AF84" s="367"/>
      <c r="AH84" s="367"/>
      <c r="AI84" s="491"/>
      <c r="AJ84" s="491"/>
      <c r="AK84" s="367"/>
      <c r="AL84" s="367"/>
    </row>
    <row r="85" spans="1:38" ht="6" customHeight="1" x14ac:dyDescent="0.25">
      <c r="A85" s="317"/>
      <c r="B85" s="310"/>
      <c r="C85" s="330" t="s">
        <v>388</v>
      </c>
      <c r="D85" s="306"/>
      <c r="E85" s="306"/>
      <c r="F85" s="306"/>
      <c r="G85" s="306"/>
      <c r="H85" s="306"/>
      <c r="I85" s="306"/>
      <c r="J85" s="331"/>
      <c r="K85" s="337"/>
      <c r="L85" s="306"/>
      <c r="M85" s="306"/>
      <c r="N85" s="306"/>
      <c r="O85" s="306"/>
      <c r="P85" s="306"/>
      <c r="Q85" s="306"/>
      <c r="R85" s="306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F85" s="367"/>
      <c r="AH85" s="367"/>
      <c r="AI85" s="491"/>
      <c r="AJ85" s="491"/>
      <c r="AK85" s="367"/>
      <c r="AL85" s="367"/>
    </row>
    <row r="86" spans="1:38" ht="12.75" customHeight="1" x14ac:dyDescent="0.25">
      <c r="A86" s="317"/>
      <c r="B86" s="310"/>
      <c r="C86" s="306" t="s">
        <v>395</v>
      </c>
      <c r="D86" s="310"/>
      <c r="E86" s="310"/>
      <c r="F86" s="310"/>
      <c r="G86" s="310"/>
      <c r="H86" s="310"/>
      <c r="I86" s="418"/>
      <c r="J86" s="323"/>
      <c r="K86" s="337"/>
      <c r="L86" s="312">
        <f>ROUND((VLOOKUP($J$81+J86,TabelLøn,+L74,1)-VLOOKUP($J$81,TabelLøn,+L74,1))*($I$73/$M$73),2)</f>
        <v>0</v>
      </c>
      <c r="M86" s="313">
        <f>L86*12</f>
        <v>0</v>
      </c>
      <c r="N86" s="322"/>
      <c r="O86" s="322"/>
      <c r="P86" s="322"/>
      <c r="Q86" s="322"/>
      <c r="S86" s="675"/>
      <c r="T86" s="676"/>
      <c r="U86" s="676"/>
      <c r="V86" s="676"/>
      <c r="W86" s="676"/>
      <c r="X86" s="676"/>
      <c r="Y86" s="676"/>
      <c r="Z86" s="676"/>
      <c r="AA86" s="676"/>
      <c r="AB86" s="676"/>
      <c r="AC86" s="676"/>
      <c r="AD86" s="677"/>
      <c r="AF86" s="367"/>
      <c r="AH86" s="367"/>
      <c r="AI86" s="491"/>
      <c r="AJ86" s="491"/>
      <c r="AK86" s="367"/>
      <c r="AL86" s="367"/>
    </row>
    <row r="87" spans="1:38" ht="12.75" customHeight="1" x14ac:dyDescent="0.25">
      <c r="A87" s="317"/>
      <c r="B87" s="310"/>
      <c r="C87" s="306" t="s">
        <v>396</v>
      </c>
      <c r="D87" s="310"/>
      <c r="E87" s="310"/>
      <c r="F87" s="310"/>
      <c r="G87" s="310"/>
      <c r="H87" s="318"/>
      <c r="I87" s="316"/>
      <c r="J87" s="422"/>
      <c r="K87" s="337"/>
      <c r="L87" s="312">
        <f>ROUND(I87/12*($I$73/$M$73)*(1+PctRegNyLøn%),2)</f>
        <v>0</v>
      </c>
      <c r="M87" s="313">
        <f>L87*12</f>
        <v>0</v>
      </c>
      <c r="N87" s="322"/>
      <c r="O87" s="322"/>
      <c r="P87" s="322"/>
      <c r="Q87" s="322"/>
      <c r="S87" s="675"/>
      <c r="T87" s="676"/>
      <c r="U87" s="676"/>
      <c r="V87" s="676"/>
      <c r="W87" s="676"/>
      <c r="X87" s="676"/>
      <c r="Y87" s="676"/>
      <c r="Z87" s="676"/>
      <c r="AA87" s="676"/>
      <c r="AB87" s="676"/>
      <c r="AC87" s="676"/>
      <c r="AD87" s="677"/>
      <c r="AF87" s="367"/>
      <c r="AH87" s="367"/>
      <c r="AI87" s="491"/>
      <c r="AJ87" s="491"/>
      <c r="AK87" s="367"/>
      <c r="AL87" s="367"/>
    </row>
    <row r="88" spans="1:38" ht="6" customHeight="1" x14ac:dyDescent="0.25">
      <c r="A88" s="317"/>
      <c r="B88" s="310"/>
      <c r="C88" s="330" t="s">
        <v>388</v>
      </c>
      <c r="D88" s="306"/>
      <c r="E88" s="306"/>
      <c r="F88" s="306"/>
      <c r="G88" s="306"/>
      <c r="H88" s="306"/>
      <c r="I88" s="306"/>
      <c r="J88" s="331"/>
      <c r="K88" s="337"/>
      <c r="L88" s="306"/>
      <c r="M88" s="306"/>
      <c r="N88" s="306"/>
      <c r="O88" s="306"/>
      <c r="P88" s="306"/>
      <c r="Q88" s="306"/>
      <c r="R88" s="306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F88" s="367"/>
      <c r="AH88" s="367"/>
      <c r="AI88" s="491"/>
      <c r="AJ88" s="491"/>
      <c r="AK88" s="367"/>
      <c r="AL88" s="367"/>
    </row>
    <row r="89" spans="1:38" ht="12.75" customHeight="1" x14ac:dyDescent="0.25">
      <c r="A89" s="317"/>
      <c r="B89" s="310"/>
      <c r="C89" s="306" t="s">
        <v>393</v>
      </c>
      <c r="D89" s="310"/>
      <c r="E89" s="310"/>
      <c r="F89" s="310"/>
      <c r="G89" s="310"/>
      <c r="H89" s="310"/>
      <c r="I89" s="419"/>
      <c r="J89" s="323"/>
      <c r="K89" s="337"/>
      <c r="L89" s="312">
        <f>ROUND((VLOOKUP($J$81+J86+J89,TabelLøn,+L74,1)-VLOOKUP($J$81+J86,TabelLøn,+L74,1))*($I$73/$M$73),2)</f>
        <v>0</v>
      </c>
      <c r="M89" s="313">
        <f t="shared" ref="M89:M96" si="4">L89*12</f>
        <v>0</v>
      </c>
      <c r="N89" s="322"/>
      <c r="O89" s="322"/>
      <c r="P89" s="322"/>
      <c r="Q89" s="322"/>
      <c r="S89" s="675"/>
      <c r="T89" s="676"/>
      <c r="U89" s="676"/>
      <c r="V89" s="676"/>
      <c r="W89" s="676"/>
      <c r="X89" s="676"/>
      <c r="Y89" s="676"/>
      <c r="Z89" s="676"/>
      <c r="AA89" s="676"/>
      <c r="AB89" s="676"/>
      <c r="AC89" s="676"/>
      <c r="AD89" s="677"/>
      <c r="AF89" s="367"/>
      <c r="AH89" s="367"/>
      <c r="AI89" s="491"/>
      <c r="AJ89" s="491"/>
      <c r="AK89" s="367"/>
      <c r="AL89" s="367"/>
    </row>
    <row r="90" spans="1:38" ht="12.75" customHeight="1" x14ac:dyDescent="0.25">
      <c r="A90" s="317"/>
      <c r="B90" s="310"/>
      <c r="C90" s="306" t="s">
        <v>393</v>
      </c>
      <c r="D90" s="310"/>
      <c r="E90" s="310"/>
      <c r="F90" s="310"/>
      <c r="G90" s="310"/>
      <c r="H90" s="310"/>
      <c r="I90" s="419"/>
      <c r="J90" s="323"/>
      <c r="K90" s="337"/>
      <c r="L90" s="312">
        <f>ROUND((VLOOKUP($J$81+J86+J89+J90,TabelLøn,+L74,1)-VLOOKUP($J$81+J86+J89,TabelLøn,+L74,1))*($I$73/$M$73),2)</f>
        <v>0</v>
      </c>
      <c r="M90" s="313">
        <f t="shared" si="4"/>
        <v>0</v>
      </c>
      <c r="N90" s="322"/>
      <c r="O90" s="322"/>
      <c r="P90" s="322"/>
      <c r="Q90" s="322"/>
      <c r="S90" s="675"/>
      <c r="T90" s="676"/>
      <c r="U90" s="676"/>
      <c r="V90" s="676"/>
      <c r="W90" s="676"/>
      <c r="X90" s="676"/>
      <c r="Y90" s="676"/>
      <c r="Z90" s="676"/>
      <c r="AA90" s="676"/>
      <c r="AB90" s="676"/>
      <c r="AC90" s="676"/>
      <c r="AD90" s="677"/>
      <c r="AF90" s="367"/>
      <c r="AH90" s="367"/>
      <c r="AI90" s="491"/>
      <c r="AJ90" s="491"/>
      <c r="AK90" s="367"/>
      <c r="AL90" s="367"/>
    </row>
    <row r="91" spans="1:38" ht="12.75" customHeight="1" x14ac:dyDescent="0.25">
      <c r="A91" s="317"/>
      <c r="B91" s="310"/>
      <c r="C91" s="306" t="s">
        <v>393</v>
      </c>
      <c r="D91" s="310"/>
      <c r="E91" s="310"/>
      <c r="F91" s="310"/>
      <c r="G91" s="310"/>
      <c r="H91" s="310"/>
      <c r="I91" s="419"/>
      <c r="J91" s="323"/>
      <c r="K91" s="337"/>
      <c r="L91" s="312">
        <f>ROUND((VLOOKUP($J$81+J86+J89+J90+J91,TabelLøn,+L74,1)-VLOOKUP($J$81+J86+J89+J90,TabelLøn,+L74,1))*($I$73/$M$73),2)</f>
        <v>0</v>
      </c>
      <c r="M91" s="313">
        <f t="shared" si="4"/>
        <v>0</v>
      </c>
      <c r="N91" s="322"/>
      <c r="O91" s="322"/>
      <c r="P91" s="322"/>
      <c r="Q91" s="322"/>
      <c r="S91" s="675"/>
      <c r="T91" s="676"/>
      <c r="U91" s="676"/>
      <c r="V91" s="676"/>
      <c r="W91" s="676"/>
      <c r="X91" s="676"/>
      <c r="Y91" s="676"/>
      <c r="Z91" s="676"/>
      <c r="AA91" s="676"/>
      <c r="AB91" s="676"/>
      <c r="AC91" s="676"/>
      <c r="AD91" s="677"/>
      <c r="AF91" s="367"/>
      <c r="AH91" s="367"/>
      <c r="AI91" s="491"/>
      <c r="AJ91" s="491"/>
      <c r="AK91" s="367"/>
      <c r="AL91" s="367"/>
    </row>
    <row r="92" spans="1:38" ht="12.75" hidden="1" customHeight="1" x14ac:dyDescent="0.25">
      <c r="A92" s="317"/>
      <c r="B92" s="310"/>
      <c r="C92" s="306" t="s">
        <v>393</v>
      </c>
      <c r="D92" s="310"/>
      <c r="E92" s="310"/>
      <c r="F92" s="310"/>
      <c r="G92" s="310"/>
      <c r="H92" s="310"/>
      <c r="I92" s="418"/>
      <c r="J92" s="323"/>
      <c r="K92" s="337"/>
      <c r="L92" s="312">
        <f>ROUND((VLOOKUP($J$81+J86+J89+J90+J91+J92,TabelLøn,+L74,1)-VLOOKUP($J$81+J86+J89+J90+J91,TabelLøn,+L74,1))*($I$73/$M$73),2)</f>
        <v>0</v>
      </c>
      <c r="M92" s="313">
        <f t="shared" si="4"/>
        <v>0</v>
      </c>
      <c r="N92" s="322"/>
      <c r="O92" s="322"/>
      <c r="P92" s="322"/>
      <c r="Q92" s="322"/>
      <c r="S92" s="675"/>
      <c r="T92" s="676"/>
      <c r="U92" s="676"/>
      <c r="V92" s="676"/>
      <c r="W92" s="676"/>
      <c r="X92" s="676"/>
      <c r="Y92" s="676"/>
      <c r="Z92" s="676"/>
      <c r="AA92" s="676"/>
      <c r="AB92" s="676"/>
      <c r="AC92" s="676"/>
      <c r="AD92" s="677"/>
      <c r="AF92" s="367"/>
      <c r="AH92" s="367"/>
      <c r="AI92" s="491"/>
      <c r="AJ92" s="491"/>
      <c r="AK92" s="367"/>
      <c r="AL92" s="367"/>
    </row>
    <row r="93" spans="1:38" ht="12.75" hidden="1" customHeight="1" x14ac:dyDescent="0.25">
      <c r="A93" s="317"/>
      <c r="B93" s="310"/>
      <c r="C93" s="306" t="s">
        <v>394</v>
      </c>
      <c r="D93" s="310"/>
      <c r="E93" s="310"/>
      <c r="F93" s="310"/>
      <c r="G93" s="310"/>
      <c r="H93" s="318"/>
      <c r="I93" s="316"/>
      <c r="J93" s="420"/>
      <c r="K93" s="337"/>
      <c r="L93" s="312">
        <f>ROUND(I93/12*($I$73/$M$73)*(1+PctRegNyLøn%),2)</f>
        <v>0</v>
      </c>
      <c r="M93" s="313">
        <f t="shared" si="4"/>
        <v>0</v>
      </c>
      <c r="N93" s="322"/>
      <c r="O93" s="322"/>
      <c r="P93" s="322"/>
      <c r="Q93" s="322"/>
      <c r="S93" s="675"/>
      <c r="T93" s="676"/>
      <c r="U93" s="676"/>
      <c r="V93" s="676"/>
      <c r="W93" s="676"/>
      <c r="X93" s="676"/>
      <c r="Y93" s="676"/>
      <c r="Z93" s="676"/>
      <c r="AA93" s="676"/>
      <c r="AB93" s="676"/>
      <c r="AC93" s="676"/>
      <c r="AD93" s="677"/>
      <c r="AF93" s="367"/>
      <c r="AH93" s="367"/>
      <c r="AI93" s="491"/>
      <c r="AJ93" s="491"/>
      <c r="AK93" s="367"/>
      <c r="AL93" s="367"/>
    </row>
    <row r="94" spans="1:38" ht="12.75" customHeight="1" x14ac:dyDescent="0.25">
      <c r="A94" s="317"/>
      <c r="B94" s="310"/>
      <c r="C94" s="306" t="s">
        <v>394</v>
      </c>
      <c r="D94" s="310"/>
      <c r="E94" s="310"/>
      <c r="F94" s="310"/>
      <c r="G94" s="310"/>
      <c r="H94" s="318"/>
      <c r="I94" s="316"/>
      <c r="J94" s="421"/>
      <c r="K94" s="337"/>
      <c r="L94" s="312">
        <f>ROUND(I94/12*($I$73/$M$73)*(1+PctRegNyLøn%),2)</f>
        <v>0</v>
      </c>
      <c r="M94" s="313">
        <f t="shared" si="4"/>
        <v>0</v>
      </c>
      <c r="N94" s="322"/>
      <c r="O94" s="322"/>
      <c r="P94" s="322"/>
      <c r="Q94" s="322"/>
      <c r="S94" s="675"/>
      <c r="T94" s="676"/>
      <c r="U94" s="676"/>
      <c r="V94" s="676"/>
      <c r="W94" s="676"/>
      <c r="X94" s="676"/>
      <c r="Y94" s="676"/>
      <c r="Z94" s="676"/>
      <c r="AA94" s="676"/>
      <c r="AB94" s="676"/>
      <c r="AC94" s="676"/>
      <c r="AD94" s="677"/>
      <c r="AF94" s="367"/>
      <c r="AH94" s="367"/>
      <c r="AI94" s="491"/>
      <c r="AJ94" s="491"/>
      <c r="AK94" s="367"/>
      <c r="AL94" s="367"/>
    </row>
    <row r="95" spans="1:38" ht="12.75" customHeight="1" x14ac:dyDescent="0.25">
      <c r="A95" s="317"/>
      <c r="B95" s="310"/>
      <c r="C95" s="306" t="s">
        <v>394</v>
      </c>
      <c r="D95" s="310"/>
      <c r="E95" s="310"/>
      <c r="F95" s="310"/>
      <c r="G95" s="310"/>
      <c r="H95" s="318"/>
      <c r="I95" s="316"/>
      <c r="J95" s="421"/>
      <c r="K95" s="337"/>
      <c r="L95" s="312">
        <f>ROUND(I95/12*($I$73/$M$73)*(1+PctRegNyLøn%),2)</f>
        <v>0</v>
      </c>
      <c r="M95" s="313">
        <f t="shared" si="4"/>
        <v>0</v>
      </c>
      <c r="N95" s="322"/>
      <c r="O95" s="322"/>
      <c r="P95" s="322"/>
      <c r="Q95" s="322"/>
      <c r="S95" s="675"/>
      <c r="T95" s="676"/>
      <c r="U95" s="676"/>
      <c r="V95" s="676"/>
      <c r="W95" s="676"/>
      <c r="X95" s="676"/>
      <c r="Y95" s="676"/>
      <c r="Z95" s="676"/>
      <c r="AA95" s="676"/>
      <c r="AB95" s="676"/>
      <c r="AC95" s="676"/>
      <c r="AD95" s="677"/>
      <c r="AF95" s="367"/>
      <c r="AH95" s="367"/>
      <c r="AI95" s="491"/>
      <c r="AJ95" s="491"/>
      <c r="AK95" s="367"/>
      <c r="AL95" s="367"/>
    </row>
    <row r="96" spans="1:38" ht="12.75" customHeight="1" x14ac:dyDescent="0.25">
      <c r="A96" s="317"/>
      <c r="B96" s="310"/>
      <c r="C96" s="306" t="s">
        <v>394</v>
      </c>
      <c r="D96" s="310"/>
      <c r="E96" s="310"/>
      <c r="F96" s="310"/>
      <c r="G96" s="310"/>
      <c r="H96" s="318"/>
      <c r="I96" s="316"/>
      <c r="J96" s="421"/>
      <c r="K96" s="337"/>
      <c r="L96" s="312">
        <f>ROUND(I96/12*($I$73/$M$73)*(1+PctRegNyLøn%),2)</f>
        <v>0</v>
      </c>
      <c r="M96" s="313">
        <f t="shared" si="4"/>
        <v>0</v>
      </c>
      <c r="N96" s="322"/>
      <c r="O96" s="322"/>
      <c r="P96" s="322"/>
      <c r="Q96" s="322"/>
      <c r="S96" s="675"/>
      <c r="T96" s="676"/>
      <c r="U96" s="676"/>
      <c r="V96" s="676"/>
      <c r="W96" s="676"/>
      <c r="X96" s="676"/>
      <c r="Y96" s="676"/>
      <c r="Z96" s="676"/>
      <c r="AA96" s="676"/>
      <c r="AB96" s="676"/>
      <c r="AC96" s="676"/>
      <c r="AD96" s="677"/>
      <c r="AF96" s="367"/>
      <c r="AH96" s="367"/>
      <c r="AI96" s="491"/>
      <c r="AJ96" s="491"/>
      <c r="AK96" s="367"/>
      <c r="AL96" s="367"/>
    </row>
    <row r="97" spans="1:38" ht="6" customHeight="1" x14ac:dyDescent="0.25">
      <c r="A97" s="317"/>
      <c r="B97" s="310"/>
      <c r="C97" s="306"/>
      <c r="D97" s="306"/>
      <c r="E97" s="306"/>
      <c r="F97" s="306"/>
      <c r="G97" s="306"/>
      <c r="H97" s="306"/>
      <c r="I97" s="306"/>
      <c r="J97" s="331"/>
      <c r="K97" s="337"/>
      <c r="L97" s="306"/>
      <c r="M97" s="306"/>
      <c r="N97" s="306"/>
      <c r="O97" s="306"/>
      <c r="P97" s="306"/>
      <c r="Q97" s="306"/>
      <c r="R97" s="306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F97" s="367"/>
      <c r="AH97" s="367"/>
      <c r="AI97" s="491"/>
      <c r="AJ97" s="491"/>
      <c r="AK97" s="367"/>
      <c r="AL97" s="367"/>
    </row>
    <row r="98" spans="1:38" ht="12.75" customHeight="1" x14ac:dyDescent="0.25">
      <c r="A98" s="317"/>
      <c r="B98" s="310"/>
      <c r="C98" s="306" t="s">
        <v>403</v>
      </c>
      <c r="D98" s="310"/>
      <c r="E98" s="310"/>
      <c r="F98" s="310"/>
      <c r="G98" s="310"/>
      <c r="H98" s="318"/>
      <c r="I98" s="316"/>
      <c r="J98" s="421"/>
      <c r="K98" s="337"/>
      <c r="L98" s="312">
        <f>ROUND(I98/12*($I$73/$M$73)*(1+PctRegNyLøn%),2)</f>
        <v>0</v>
      </c>
      <c r="M98" s="313">
        <f>L98*12</f>
        <v>0</v>
      </c>
      <c r="N98" s="322"/>
      <c r="O98" s="322"/>
      <c r="P98" s="322"/>
      <c r="Q98" s="322"/>
      <c r="S98" s="675"/>
      <c r="T98" s="676"/>
      <c r="U98" s="676"/>
      <c r="V98" s="676"/>
      <c r="W98" s="676"/>
      <c r="X98" s="676"/>
      <c r="Y98" s="676"/>
      <c r="Z98" s="676"/>
      <c r="AA98" s="676"/>
      <c r="AB98" s="676"/>
      <c r="AC98" s="676"/>
      <c r="AD98" s="677"/>
      <c r="AF98" s="367"/>
      <c r="AH98" s="367"/>
      <c r="AI98" s="491"/>
      <c r="AJ98" s="491"/>
      <c r="AK98" s="367"/>
      <c r="AL98" s="367"/>
    </row>
    <row r="99" spans="1:38" ht="12.75" customHeight="1" x14ac:dyDescent="0.25">
      <c r="A99" s="317"/>
      <c r="B99" s="310"/>
      <c r="C99" s="306" t="s">
        <v>392</v>
      </c>
      <c r="D99" s="310"/>
      <c r="E99" s="310"/>
      <c r="F99" s="310"/>
      <c r="G99" s="310"/>
      <c r="H99" s="318"/>
      <c r="I99" s="316"/>
      <c r="J99" s="421"/>
      <c r="K99" s="337"/>
      <c r="L99" s="312">
        <f>ROUND(I99/12*($I$73/$M$73)*(1+PctRegNyLøn%),2)</f>
        <v>0</v>
      </c>
      <c r="M99" s="313">
        <f>L99*12</f>
        <v>0</v>
      </c>
      <c r="N99" s="322"/>
      <c r="O99" s="322"/>
      <c r="P99" s="322"/>
      <c r="Q99" s="322"/>
      <c r="S99" s="675"/>
      <c r="T99" s="676"/>
      <c r="U99" s="676"/>
      <c r="V99" s="676"/>
      <c r="W99" s="676"/>
      <c r="X99" s="676"/>
      <c r="Y99" s="676"/>
      <c r="Z99" s="676"/>
      <c r="AA99" s="676"/>
      <c r="AB99" s="676"/>
      <c r="AC99" s="676"/>
      <c r="AD99" s="677"/>
      <c r="AF99" s="367"/>
      <c r="AH99" s="367"/>
      <c r="AI99" s="491"/>
      <c r="AJ99" s="491"/>
      <c r="AK99" s="367"/>
      <c r="AL99" s="367"/>
    </row>
    <row r="100" spans="1:38" ht="6" customHeight="1" x14ac:dyDescent="0.25">
      <c r="A100" s="317"/>
      <c r="B100" s="310"/>
      <c r="C100" s="330" t="s">
        <v>388</v>
      </c>
      <c r="D100" s="306"/>
      <c r="E100" s="306"/>
      <c r="F100" s="306"/>
      <c r="G100" s="306"/>
      <c r="H100" s="306"/>
      <c r="I100" s="306"/>
      <c r="J100" s="331"/>
      <c r="K100" s="337"/>
      <c r="L100" s="306"/>
      <c r="M100" s="306"/>
      <c r="N100" s="306"/>
      <c r="O100" s="306"/>
      <c r="P100" s="306"/>
      <c r="Q100" s="306"/>
      <c r="R100" s="769" t="s">
        <v>450</v>
      </c>
      <c r="S100" s="769"/>
      <c r="T100" s="769"/>
      <c r="U100" s="769"/>
      <c r="V100" s="769"/>
      <c r="W100" s="769"/>
      <c r="X100" s="769"/>
      <c r="Y100" s="769"/>
      <c r="Z100" s="769"/>
      <c r="AA100" s="769"/>
      <c r="AB100" s="769"/>
      <c r="AC100" s="769"/>
      <c r="AD100" s="769"/>
      <c r="AE100" s="769"/>
      <c r="AF100" s="367"/>
      <c r="AH100" s="367"/>
      <c r="AI100" s="491"/>
      <c r="AJ100" s="491"/>
      <c r="AK100" s="367"/>
      <c r="AL100" s="367"/>
    </row>
    <row r="101" spans="1:38" ht="12.75" customHeight="1" x14ac:dyDescent="0.25">
      <c r="A101" s="317"/>
      <c r="B101" s="327" t="s">
        <v>146</v>
      </c>
      <c r="C101" s="310"/>
      <c r="D101" s="310"/>
      <c r="E101" s="310"/>
      <c r="F101" s="310"/>
      <c r="G101" s="310"/>
      <c r="H101" s="310"/>
      <c r="I101" s="310"/>
      <c r="J101" s="308"/>
      <c r="K101" s="337"/>
      <c r="L101" s="310"/>
      <c r="M101" s="310"/>
      <c r="N101" s="310"/>
      <c r="O101" s="310"/>
      <c r="P101" s="310"/>
      <c r="Q101" s="310"/>
      <c r="R101" s="769"/>
      <c r="S101" s="769"/>
      <c r="T101" s="769"/>
      <c r="U101" s="769"/>
      <c r="V101" s="769"/>
      <c r="W101" s="769"/>
      <c r="X101" s="769"/>
      <c r="Y101" s="769"/>
      <c r="Z101" s="769"/>
      <c r="AA101" s="769"/>
      <c r="AB101" s="769"/>
      <c r="AC101" s="769"/>
      <c r="AD101" s="769"/>
      <c r="AE101" s="769"/>
      <c r="AF101" s="367"/>
      <c r="AH101" s="367"/>
      <c r="AI101" s="491"/>
      <c r="AJ101" s="491"/>
      <c r="AK101" s="367"/>
      <c r="AL101" s="367"/>
    </row>
    <row r="102" spans="1:38" ht="6" customHeight="1" x14ac:dyDescent="0.25">
      <c r="A102" s="317"/>
      <c r="B102" s="310"/>
      <c r="C102" s="330" t="s">
        <v>388</v>
      </c>
      <c r="D102" s="306"/>
      <c r="E102" s="306"/>
      <c r="F102" s="306"/>
      <c r="G102" s="306"/>
      <c r="H102" s="306"/>
      <c r="I102" s="306"/>
      <c r="J102" s="331"/>
      <c r="K102" s="337"/>
      <c r="L102" s="306"/>
      <c r="M102" s="306"/>
      <c r="N102" s="306"/>
      <c r="O102" s="306"/>
      <c r="P102" s="306"/>
      <c r="Q102" s="306"/>
      <c r="R102" s="306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F102" s="367"/>
      <c r="AH102" s="367"/>
      <c r="AI102" s="491"/>
      <c r="AJ102" s="491"/>
      <c r="AK102" s="367"/>
      <c r="AL102" s="367"/>
    </row>
    <row r="103" spans="1:38" ht="12.75" customHeight="1" x14ac:dyDescent="0.25">
      <c r="A103" s="317"/>
      <c r="B103" s="310"/>
      <c r="C103" s="306" t="s">
        <v>397</v>
      </c>
      <c r="D103" s="310"/>
      <c r="E103" s="310"/>
      <c r="F103" s="310"/>
      <c r="G103" s="310"/>
      <c r="H103" s="310"/>
      <c r="I103" s="419"/>
      <c r="J103" s="323"/>
      <c r="K103" s="337"/>
      <c r="L103" s="312">
        <f>ROUND((VLOOKUP($J$81+J86+J89+J90+J91+J92+J103,TabelLøn,+L74,1)-VLOOKUP($J$81+J86+J89+J90+J91+J92,TabelLøn,+L74,1))*($I$73/$M$73),2)</f>
        <v>0</v>
      </c>
      <c r="M103" s="313">
        <f t="shared" ref="M103:M108" si="5">L103*12</f>
        <v>0</v>
      </c>
      <c r="N103" s="322"/>
      <c r="O103" s="322"/>
      <c r="P103" s="322"/>
      <c r="Q103" s="322"/>
      <c r="S103" s="675"/>
      <c r="T103" s="676"/>
      <c r="U103" s="676"/>
      <c r="V103" s="676"/>
      <c r="W103" s="676"/>
      <c r="X103" s="676"/>
      <c r="Y103" s="676"/>
      <c r="Z103" s="676"/>
      <c r="AA103" s="676"/>
      <c r="AB103" s="676"/>
      <c r="AC103" s="676"/>
      <c r="AD103" s="677"/>
      <c r="AF103" s="367"/>
      <c r="AH103" s="367"/>
      <c r="AI103" s="491"/>
      <c r="AJ103" s="491"/>
      <c r="AK103" s="367"/>
      <c r="AL103" s="367"/>
    </row>
    <row r="104" spans="1:38" ht="12.75" customHeight="1" x14ac:dyDescent="0.25">
      <c r="A104" s="317"/>
      <c r="B104" s="310"/>
      <c r="C104" s="306" t="s">
        <v>397</v>
      </c>
      <c r="D104" s="310"/>
      <c r="E104" s="310"/>
      <c r="F104" s="310"/>
      <c r="G104" s="310"/>
      <c r="H104" s="310"/>
      <c r="I104" s="419"/>
      <c r="J104" s="323"/>
      <c r="K104" s="337"/>
      <c r="L104" s="312">
        <f>ROUND((VLOOKUP($J$81+J86+J89+J90+J91+J92+J103+J104,TabelLøn,+L74,1)-VLOOKUP($J$81+J86+J89+J90+J91+J92+J103,TabelLøn,+L74,1))*($I$73/$M$73),2)</f>
        <v>0</v>
      </c>
      <c r="M104" s="313">
        <f t="shared" si="5"/>
        <v>0</v>
      </c>
      <c r="N104" s="322"/>
      <c r="O104" s="322"/>
      <c r="P104" s="322"/>
      <c r="Q104" s="322"/>
      <c r="S104" s="675"/>
      <c r="T104" s="676"/>
      <c r="U104" s="676"/>
      <c r="V104" s="676"/>
      <c r="W104" s="676"/>
      <c r="X104" s="676"/>
      <c r="Y104" s="676"/>
      <c r="Z104" s="676"/>
      <c r="AA104" s="676"/>
      <c r="AB104" s="676"/>
      <c r="AC104" s="676"/>
      <c r="AD104" s="677"/>
      <c r="AF104" s="367"/>
      <c r="AH104" s="367"/>
      <c r="AI104" s="491"/>
      <c r="AJ104" s="491"/>
      <c r="AK104" s="367"/>
      <c r="AL104" s="367"/>
    </row>
    <row r="105" spans="1:38" ht="12.75" customHeight="1" x14ac:dyDescent="0.25">
      <c r="A105" s="317"/>
      <c r="B105" s="310"/>
      <c r="C105" s="306" t="s">
        <v>397</v>
      </c>
      <c r="D105" s="310"/>
      <c r="E105" s="310"/>
      <c r="F105" s="310"/>
      <c r="G105" s="310"/>
      <c r="H105" s="310"/>
      <c r="I105" s="418"/>
      <c r="J105" s="323"/>
      <c r="K105" s="337"/>
      <c r="L105" s="312">
        <f>ROUND((VLOOKUP($J$81+J86+J89+J90+J91+J92+J103+J104+J105,TabelLøn,+L74,1)-VLOOKUP($J$81+J86+J89+J90+J91+J92+J103+J104,TabelLøn,+L74,1))*($I$73/$M$73),2)</f>
        <v>0</v>
      </c>
      <c r="M105" s="313">
        <f t="shared" si="5"/>
        <v>0</v>
      </c>
      <c r="N105" s="322"/>
      <c r="O105" s="322"/>
      <c r="P105" s="322"/>
      <c r="Q105" s="322"/>
      <c r="S105" s="675"/>
      <c r="T105" s="676"/>
      <c r="U105" s="676"/>
      <c r="V105" s="676"/>
      <c r="W105" s="676"/>
      <c r="X105" s="676"/>
      <c r="Y105" s="676"/>
      <c r="Z105" s="676"/>
      <c r="AA105" s="676"/>
      <c r="AB105" s="676"/>
      <c r="AC105" s="676"/>
      <c r="AD105" s="677"/>
      <c r="AF105" s="367"/>
      <c r="AH105" s="367"/>
      <c r="AI105" s="491"/>
      <c r="AJ105" s="491"/>
      <c r="AK105" s="367"/>
      <c r="AL105" s="367"/>
    </row>
    <row r="106" spans="1:38" ht="12.75" customHeight="1" x14ac:dyDescent="0.25">
      <c r="A106" s="306"/>
      <c r="B106" s="310"/>
      <c r="C106" s="306" t="s">
        <v>398</v>
      </c>
      <c r="D106" s="310"/>
      <c r="E106" s="310"/>
      <c r="F106" s="310"/>
      <c r="G106" s="310"/>
      <c r="H106" s="318"/>
      <c r="I106" s="316"/>
      <c r="J106" s="422"/>
      <c r="K106" s="337"/>
      <c r="L106" s="312">
        <f>ROUND(I106/12*($I$73/$M$73)*(1+PctRegNyLøn%),2)</f>
        <v>0</v>
      </c>
      <c r="M106" s="313">
        <f t="shared" si="5"/>
        <v>0</v>
      </c>
      <c r="N106" s="322"/>
      <c r="O106" s="322"/>
      <c r="P106" s="322"/>
      <c r="Q106" s="322"/>
      <c r="S106" s="675"/>
      <c r="T106" s="676"/>
      <c r="U106" s="676"/>
      <c r="V106" s="676"/>
      <c r="W106" s="676"/>
      <c r="X106" s="676"/>
      <c r="Y106" s="676"/>
      <c r="Z106" s="676"/>
      <c r="AA106" s="676"/>
      <c r="AB106" s="676"/>
      <c r="AC106" s="676"/>
      <c r="AD106" s="677"/>
      <c r="AF106" s="367"/>
      <c r="AH106" s="367"/>
      <c r="AI106" s="491"/>
      <c r="AJ106" s="491"/>
      <c r="AK106" s="367"/>
      <c r="AL106" s="367"/>
    </row>
    <row r="107" spans="1:38" ht="12.75" customHeight="1" x14ac:dyDescent="0.25">
      <c r="A107" s="306"/>
      <c r="B107" s="310"/>
      <c r="C107" s="306" t="s">
        <v>398</v>
      </c>
      <c r="D107" s="310"/>
      <c r="E107" s="310"/>
      <c r="F107" s="310"/>
      <c r="G107" s="310"/>
      <c r="H107" s="318"/>
      <c r="I107" s="316"/>
      <c r="J107" s="423"/>
      <c r="K107" s="337"/>
      <c r="L107" s="312">
        <f>ROUND(I107/12*($I$73/$M$73)*(1+PctRegNyLøn%),2)</f>
        <v>0</v>
      </c>
      <c r="M107" s="313">
        <f t="shared" si="5"/>
        <v>0</v>
      </c>
      <c r="N107" s="322"/>
      <c r="O107" s="322"/>
      <c r="P107" s="322"/>
      <c r="Q107" s="322"/>
      <c r="S107" s="675"/>
      <c r="T107" s="676"/>
      <c r="U107" s="676"/>
      <c r="V107" s="676"/>
      <c r="W107" s="676"/>
      <c r="X107" s="676"/>
      <c r="Y107" s="676"/>
      <c r="Z107" s="676"/>
      <c r="AA107" s="676"/>
      <c r="AB107" s="676"/>
      <c r="AC107" s="676"/>
      <c r="AD107" s="677"/>
      <c r="AF107" s="367"/>
      <c r="AH107" s="367"/>
      <c r="AI107" s="491"/>
      <c r="AJ107" s="491"/>
      <c r="AK107" s="367"/>
      <c r="AL107" s="367"/>
    </row>
    <row r="108" spans="1:38" ht="12.75" customHeight="1" x14ac:dyDescent="0.25">
      <c r="A108" s="306"/>
      <c r="B108" s="310"/>
      <c r="C108" s="306" t="s">
        <v>398</v>
      </c>
      <c r="D108" s="310"/>
      <c r="E108" s="310"/>
      <c r="F108" s="310"/>
      <c r="G108" s="310"/>
      <c r="H108" s="318"/>
      <c r="I108" s="316"/>
      <c r="J108" s="423"/>
      <c r="K108" s="337"/>
      <c r="L108" s="312">
        <f>ROUND(I108/12*($I$73/$M$73)*(1+PctRegNyLøn%),2)</f>
        <v>0</v>
      </c>
      <c r="M108" s="313">
        <f t="shared" si="5"/>
        <v>0</v>
      </c>
      <c r="N108" s="322"/>
      <c r="O108" s="322"/>
      <c r="P108" s="322"/>
      <c r="Q108" s="322"/>
      <c r="S108" s="675"/>
      <c r="T108" s="676"/>
      <c r="U108" s="676"/>
      <c r="V108" s="676"/>
      <c r="W108" s="676"/>
      <c r="X108" s="676"/>
      <c r="Y108" s="676"/>
      <c r="Z108" s="676"/>
      <c r="AA108" s="676"/>
      <c r="AB108" s="676"/>
      <c r="AC108" s="676"/>
      <c r="AD108" s="677"/>
      <c r="AF108" s="367"/>
      <c r="AH108" s="367"/>
      <c r="AI108" s="491"/>
      <c r="AJ108" s="491"/>
      <c r="AK108" s="367"/>
      <c r="AL108" s="367"/>
    </row>
    <row r="109" spans="1:38" ht="6" customHeight="1" x14ac:dyDescent="0.25">
      <c r="A109" s="317"/>
      <c r="B109" s="310"/>
      <c r="C109" s="306"/>
      <c r="D109" s="306"/>
      <c r="E109" s="306"/>
      <c r="F109" s="306"/>
      <c r="G109" s="306"/>
      <c r="H109" s="306"/>
      <c r="I109" s="306"/>
      <c r="J109" s="331"/>
      <c r="K109" s="337"/>
      <c r="L109" s="306"/>
      <c r="M109" s="306"/>
      <c r="N109" s="306"/>
      <c r="O109" s="306"/>
      <c r="P109" s="306"/>
      <c r="Q109" s="306"/>
      <c r="R109" s="306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F109" s="367"/>
      <c r="AH109" s="367"/>
      <c r="AI109" s="491"/>
      <c r="AJ109" s="491"/>
      <c r="AK109" s="367"/>
      <c r="AL109" s="367"/>
    </row>
    <row r="110" spans="1:38" ht="12.75" customHeight="1" x14ac:dyDescent="0.25">
      <c r="A110" s="317"/>
      <c r="B110" s="310"/>
      <c r="C110" s="306" t="s">
        <v>401</v>
      </c>
      <c r="D110" s="310"/>
      <c r="E110" s="310"/>
      <c r="F110" s="310"/>
      <c r="G110" s="310"/>
      <c r="H110" s="310"/>
      <c r="I110" s="419"/>
      <c r="J110" s="323"/>
      <c r="K110" s="337"/>
      <c r="L110" s="312">
        <f>ROUND((VLOOKUP($J$81+J86+J89+J90+J91+J92+J103+J104+J105+J110,TabelLøn,+L74,1)-VLOOKUP($J$81+J86+J89+J90+J91+J92+J103+J104+J105,TabelLøn,+L74,1))*($I$73/$M$73),2)</f>
        <v>0</v>
      </c>
      <c r="M110" s="313">
        <f t="shared" ref="M110:M119" si="6">L110*12</f>
        <v>0</v>
      </c>
      <c r="N110" s="322"/>
      <c r="O110" s="322"/>
      <c r="P110" s="322"/>
      <c r="Q110" s="322"/>
      <c r="S110" s="675"/>
      <c r="T110" s="676"/>
      <c r="U110" s="676"/>
      <c r="V110" s="676"/>
      <c r="W110" s="676"/>
      <c r="X110" s="676"/>
      <c r="Y110" s="676"/>
      <c r="Z110" s="676"/>
      <c r="AA110" s="676"/>
      <c r="AB110" s="676"/>
      <c r="AC110" s="676"/>
      <c r="AD110" s="677"/>
      <c r="AF110" s="367"/>
      <c r="AH110" s="367"/>
      <c r="AI110" s="491"/>
      <c r="AJ110" s="491"/>
      <c r="AK110" s="367"/>
      <c r="AL110" s="367"/>
    </row>
    <row r="111" spans="1:38" ht="12.75" customHeight="1" x14ac:dyDescent="0.25">
      <c r="A111" s="317"/>
      <c r="B111" s="310"/>
      <c r="C111" s="306" t="s">
        <v>401</v>
      </c>
      <c r="D111" s="310"/>
      <c r="E111" s="310"/>
      <c r="F111" s="310"/>
      <c r="G111" s="310"/>
      <c r="H111" s="310"/>
      <c r="I111" s="419"/>
      <c r="J111" s="323"/>
      <c r="K111" s="337"/>
      <c r="L111" s="312">
        <f>ROUND((VLOOKUP($J$81+J86+J89+J90+J91+J92+J103+J104+J105+J110+J111,TabelLøn,+L74,1)-VLOOKUP($J$81+J86+J89+J90+J91+J92+J103+J104+J105+J110,TabelLøn,+L74,1))*($I$73/$M$73),2)</f>
        <v>0</v>
      </c>
      <c r="M111" s="313">
        <f t="shared" si="6"/>
        <v>0</v>
      </c>
      <c r="N111" s="322"/>
      <c r="O111" s="322"/>
      <c r="P111" s="322"/>
      <c r="Q111" s="322"/>
      <c r="S111" s="675"/>
      <c r="T111" s="676"/>
      <c r="U111" s="676"/>
      <c r="V111" s="676"/>
      <c r="W111" s="676"/>
      <c r="X111" s="676"/>
      <c r="Y111" s="676"/>
      <c r="Z111" s="676"/>
      <c r="AA111" s="676"/>
      <c r="AB111" s="676"/>
      <c r="AC111" s="676"/>
      <c r="AD111" s="677"/>
      <c r="AF111" s="367"/>
      <c r="AH111" s="367"/>
      <c r="AI111" s="491"/>
      <c r="AJ111" s="491"/>
      <c r="AK111" s="367"/>
      <c r="AL111" s="367"/>
    </row>
    <row r="112" spans="1:38" ht="12.75" customHeight="1" x14ac:dyDescent="0.25">
      <c r="A112" s="317"/>
      <c r="B112" s="310"/>
      <c r="C112" s="306" t="s">
        <v>401</v>
      </c>
      <c r="D112" s="310"/>
      <c r="E112" s="310"/>
      <c r="F112" s="310"/>
      <c r="G112" s="310"/>
      <c r="H112" s="310"/>
      <c r="I112" s="419"/>
      <c r="J112" s="323"/>
      <c r="K112" s="337"/>
      <c r="L112" s="312">
        <f>ROUND((VLOOKUP($J$81+J86+J89+J90+J91+J92+J103+J104+J105+J110+J111+J112,TabelLøn,+L74,1)-VLOOKUP($J$81+J86+J89+J90+J91+J92+J103+J104+J105+J110+J111,TabelLøn,+L74,1))*($I$73/$M$73),2)</f>
        <v>0</v>
      </c>
      <c r="M112" s="313">
        <f t="shared" si="6"/>
        <v>0</v>
      </c>
      <c r="N112" s="322"/>
      <c r="O112" s="322"/>
      <c r="P112" s="322"/>
      <c r="Q112" s="322"/>
      <c r="S112" s="675"/>
      <c r="T112" s="676"/>
      <c r="U112" s="676"/>
      <c r="V112" s="676"/>
      <c r="W112" s="676"/>
      <c r="X112" s="676"/>
      <c r="Y112" s="676"/>
      <c r="Z112" s="676"/>
      <c r="AA112" s="676"/>
      <c r="AB112" s="676"/>
      <c r="AC112" s="676"/>
      <c r="AD112" s="677"/>
      <c r="AF112" s="367"/>
      <c r="AH112" s="367"/>
      <c r="AI112" s="491"/>
      <c r="AJ112" s="491"/>
      <c r="AK112" s="367"/>
      <c r="AL112" s="367"/>
    </row>
    <row r="113" spans="1:38" ht="12.75" customHeight="1" x14ac:dyDescent="0.25">
      <c r="A113" s="619"/>
      <c r="B113" s="310"/>
      <c r="C113" s="306" t="s">
        <v>401</v>
      </c>
      <c r="D113" s="310"/>
      <c r="E113" s="310"/>
      <c r="F113" s="310"/>
      <c r="G113" s="310"/>
      <c r="H113" s="310"/>
      <c r="I113" s="419"/>
      <c r="J113" s="323"/>
      <c r="K113" s="337"/>
      <c r="L113" s="312">
        <f>ROUND((VLOOKUP($J$81+J86+J89+J90+J91+J92+J103+J104+J105+J110+J111+J112+J113,TabelLøn,+L74,1)-VLOOKUP($J$81+J86+J89+J90+J91+J92+J103+J104+J105+J110+J111+J112,TabelLøn,+L74,1))*($I$73/$M$73),2)</f>
        <v>0</v>
      </c>
      <c r="M113" s="313">
        <f t="shared" si="6"/>
        <v>0</v>
      </c>
      <c r="N113" s="322"/>
      <c r="O113" s="322"/>
      <c r="P113" s="322"/>
      <c r="Q113" s="322"/>
      <c r="S113" s="616"/>
      <c r="T113" s="617"/>
      <c r="U113" s="617"/>
      <c r="V113" s="617"/>
      <c r="W113" s="617"/>
      <c r="X113" s="617"/>
      <c r="Y113" s="617"/>
      <c r="Z113" s="617"/>
      <c r="AA113" s="617"/>
      <c r="AB113" s="617"/>
      <c r="AC113" s="617"/>
      <c r="AD113" s="618"/>
      <c r="AF113" s="367"/>
      <c r="AH113" s="367"/>
      <c r="AI113" s="491"/>
      <c r="AJ113" s="491"/>
      <c r="AK113" s="367"/>
      <c r="AL113" s="367"/>
    </row>
    <row r="114" spans="1:38" ht="12.75" customHeight="1" x14ac:dyDescent="0.25">
      <c r="A114" s="619"/>
      <c r="B114" s="310"/>
      <c r="C114" s="306" t="s">
        <v>401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ROUND((VLOOKUP($J$81+J86+J89+J90+J91+J92+J103+J104+J105+J110+J111+J112+J113+J114,TabelLøn,+L74,1)-VLOOKUP($J$81+J86+J89+J90+J91+J92+J103+J104+J105+J110+J111+J112+J113,TabelLøn,+L74,1))*($I$73/$M$73),2)</f>
        <v>0</v>
      </c>
      <c r="M114" s="313">
        <f t="shared" si="6"/>
        <v>0</v>
      </c>
      <c r="N114" s="322"/>
      <c r="O114" s="322"/>
      <c r="P114" s="322"/>
      <c r="Q114" s="322"/>
      <c r="S114" s="616"/>
      <c r="T114" s="617"/>
      <c r="U114" s="617"/>
      <c r="V114" s="617"/>
      <c r="W114" s="617"/>
      <c r="X114" s="617"/>
      <c r="Y114" s="617"/>
      <c r="Z114" s="617"/>
      <c r="AA114" s="617"/>
      <c r="AB114" s="617"/>
      <c r="AC114" s="617"/>
      <c r="AD114" s="618"/>
      <c r="AF114" s="367"/>
      <c r="AH114" s="367"/>
      <c r="AI114" s="491"/>
      <c r="AJ114" s="491"/>
      <c r="AK114" s="367"/>
      <c r="AL114" s="367"/>
    </row>
    <row r="115" spans="1:38" ht="12.75" customHeight="1" x14ac:dyDescent="0.25">
      <c r="A115" s="317"/>
      <c r="B115" s="310"/>
      <c r="C115" s="306" t="s">
        <v>401</v>
      </c>
      <c r="D115" s="310"/>
      <c r="E115" s="310"/>
      <c r="F115" s="310"/>
      <c r="G115" s="310"/>
      <c r="H115" s="310"/>
      <c r="I115" s="418"/>
      <c r="J115" s="323"/>
      <c r="K115" s="337"/>
      <c r="L115" s="312">
        <f>ROUND((VLOOKUP($J$81+J86+J89+J90+J91+J92+J103+J104+J105+J110+J111+J112+J113+J114+J115,TabelLøn,+L74,1)-VLOOKUP($J$81+J86+J89+J90+J91+J92+J103+J104+J105+J110+J111+J112+J113+J114,TabelLøn,+L74,1))*($I$73/$M$73),2)</f>
        <v>0</v>
      </c>
      <c r="M115" s="313">
        <f t="shared" si="6"/>
        <v>0</v>
      </c>
      <c r="N115" s="322"/>
      <c r="O115" s="322"/>
      <c r="P115" s="322"/>
      <c r="Q115" s="322"/>
      <c r="S115" s="675"/>
      <c r="T115" s="676"/>
      <c r="U115" s="676"/>
      <c r="V115" s="676"/>
      <c r="W115" s="676"/>
      <c r="X115" s="676"/>
      <c r="Y115" s="676"/>
      <c r="Z115" s="676"/>
      <c r="AA115" s="676"/>
      <c r="AB115" s="676"/>
      <c r="AC115" s="676"/>
      <c r="AD115" s="677"/>
      <c r="AF115" s="367"/>
      <c r="AH115" s="367"/>
      <c r="AI115" s="491"/>
      <c r="AJ115" s="491"/>
      <c r="AK115" s="367"/>
      <c r="AL115" s="367"/>
    </row>
    <row r="116" spans="1:38" ht="12.75" customHeight="1" x14ac:dyDescent="0.25">
      <c r="A116" s="317"/>
      <c r="B116" s="310"/>
      <c r="C116" s="306" t="s">
        <v>402</v>
      </c>
      <c r="D116" s="310"/>
      <c r="E116" s="310"/>
      <c r="F116" s="310"/>
      <c r="G116" s="310"/>
      <c r="H116" s="318"/>
      <c r="I116" s="316"/>
      <c r="J116" s="422"/>
      <c r="K116" s="337"/>
      <c r="L116" s="312">
        <f>ROUND(I116/12*($I$73/$M$73)*(1+PctRegNyLøn%),2)</f>
        <v>0</v>
      </c>
      <c r="M116" s="313">
        <f t="shared" si="6"/>
        <v>0</v>
      </c>
      <c r="N116" s="322"/>
      <c r="O116" s="322"/>
      <c r="P116" s="322"/>
      <c r="Q116" s="322"/>
      <c r="S116" s="675"/>
      <c r="T116" s="676"/>
      <c r="U116" s="676"/>
      <c r="V116" s="676"/>
      <c r="W116" s="676"/>
      <c r="X116" s="676"/>
      <c r="Y116" s="676"/>
      <c r="Z116" s="676"/>
      <c r="AA116" s="676"/>
      <c r="AB116" s="676"/>
      <c r="AC116" s="676"/>
      <c r="AD116" s="677"/>
      <c r="AF116" s="367"/>
      <c r="AH116" s="367"/>
      <c r="AI116" s="491"/>
      <c r="AJ116" s="491"/>
      <c r="AK116" s="367"/>
      <c r="AL116" s="367"/>
    </row>
    <row r="117" spans="1:38" ht="12.75" customHeight="1" x14ac:dyDescent="0.25">
      <c r="A117" s="317"/>
      <c r="B117" s="310"/>
      <c r="C117" s="306" t="s">
        <v>402</v>
      </c>
      <c r="D117" s="310"/>
      <c r="E117" s="310"/>
      <c r="F117" s="310"/>
      <c r="G117" s="310"/>
      <c r="H117" s="318"/>
      <c r="I117" s="316"/>
      <c r="J117" s="423"/>
      <c r="K117" s="337"/>
      <c r="L117" s="312">
        <f>ROUND(I117/12*($I$73/$M$73)*(1+PctRegNyLøn%),2)</f>
        <v>0</v>
      </c>
      <c r="M117" s="313">
        <f t="shared" si="6"/>
        <v>0</v>
      </c>
      <c r="N117" s="322"/>
      <c r="O117" s="322"/>
      <c r="P117" s="322"/>
      <c r="Q117" s="322"/>
      <c r="S117" s="675"/>
      <c r="T117" s="676"/>
      <c r="U117" s="676"/>
      <c r="V117" s="676"/>
      <c r="W117" s="676"/>
      <c r="X117" s="676"/>
      <c r="Y117" s="676"/>
      <c r="Z117" s="676"/>
      <c r="AA117" s="676"/>
      <c r="AB117" s="676"/>
      <c r="AC117" s="676"/>
      <c r="AD117" s="677"/>
      <c r="AF117" s="367"/>
      <c r="AH117" s="367"/>
      <c r="AI117" s="491"/>
      <c r="AJ117" s="491"/>
      <c r="AK117" s="367"/>
      <c r="AL117" s="367"/>
    </row>
    <row r="118" spans="1:38" ht="12.75" customHeight="1" x14ac:dyDescent="0.25">
      <c r="A118" s="317"/>
      <c r="B118" s="310"/>
      <c r="C118" s="306" t="s">
        <v>402</v>
      </c>
      <c r="D118" s="310"/>
      <c r="E118" s="310"/>
      <c r="F118" s="310"/>
      <c r="G118" s="310"/>
      <c r="H118" s="318"/>
      <c r="I118" s="316"/>
      <c r="J118" s="423"/>
      <c r="K118" s="337"/>
      <c r="L118" s="312">
        <f>ROUND(I118/12*($I$73/$M$73)*(1+PctRegNyLøn%),2)</f>
        <v>0</v>
      </c>
      <c r="M118" s="313">
        <f t="shared" si="6"/>
        <v>0</v>
      </c>
      <c r="N118" s="322"/>
      <c r="O118" s="322"/>
      <c r="P118" s="322"/>
      <c r="Q118" s="322"/>
      <c r="S118" s="675"/>
      <c r="T118" s="676"/>
      <c r="U118" s="676"/>
      <c r="V118" s="676"/>
      <c r="W118" s="676"/>
      <c r="X118" s="676"/>
      <c r="Y118" s="676"/>
      <c r="Z118" s="676"/>
      <c r="AA118" s="676"/>
      <c r="AB118" s="676"/>
      <c r="AC118" s="676"/>
      <c r="AD118" s="677"/>
      <c r="AF118" s="367"/>
      <c r="AH118" s="367"/>
      <c r="AI118" s="491"/>
      <c r="AJ118" s="491"/>
      <c r="AK118" s="367"/>
      <c r="AL118" s="367"/>
    </row>
    <row r="119" spans="1:38" ht="12.75" customHeight="1" x14ac:dyDescent="0.25">
      <c r="A119" s="317"/>
      <c r="B119" s="310"/>
      <c r="C119" s="306" t="s">
        <v>402</v>
      </c>
      <c r="D119" s="310"/>
      <c r="E119" s="310"/>
      <c r="F119" s="310"/>
      <c r="G119" s="310"/>
      <c r="H119" s="318"/>
      <c r="I119" s="316"/>
      <c r="J119" s="423"/>
      <c r="K119" s="337"/>
      <c r="L119" s="312">
        <f>ROUND(I119/12*($I$73/$M$73)*(1+PctRegNyLøn%),2)</f>
        <v>0</v>
      </c>
      <c r="M119" s="313">
        <f t="shared" si="6"/>
        <v>0</v>
      </c>
      <c r="N119" s="322"/>
      <c r="O119" s="322"/>
      <c r="P119" s="322"/>
      <c r="Q119" s="322"/>
      <c r="S119" s="675"/>
      <c r="T119" s="676"/>
      <c r="U119" s="676"/>
      <c r="V119" s="676"/>
      <c r="W119" s="676"/>
      <c r="X119" s="676"/>
      <c r="Y119" s="676"/>
      <c r="Z119" s="676"/>
      <c r="AA119" s="676"/>
      <c r="AB119" s="676"/>
      <c r="AC119" s="676"/>
      <c r="AD119" s="677"/>
      <c r="AF119" s="367"/>
      <c r="AH119" s="367"/>
      <c r="AI119" s="491"/>
      <c r="AJ119" s="491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F120" s="367"/>
      <c r="AH120" s="367"/>
      <c r="AI120" s="491"/>
      <c r="AJ120" s="491"/>
      <c r="AK120" s="367"/>
      <c r="AL120" s="367"/>
    </row>
    <row r="121" spans="1:38" ht="12.75" customHeight="1" x14ac:dyDescent="0.25">
      <c r="A121" s="317"/>
      <c r="B121" s="571" t="s">
        <v>404</v>
      </c>
      <c r="C121" s="572"/>
      <c r="D121" s="572"/>
      <c r="E121" s="572"/>
      <c r="F121" s="572"/>
      <c r="G121" s="572"/>
      <c r="H121" s="573"/>
      <c r="I121" s="316"/>
      <c r="J121" s="323"/>
      <c r="K121" s="337"/>
      <c r="L121" s="312">
        <f>ROUND((VLOOKUP(SUM(J81:J121),TabelLøn,+L74,1)-VLOOKUP(SUM(J81:J119),TabelLøn,+L74,1))*BeskGradNyLøn,2)+ROUND(I121/12*($I$73/$M$73)*(1+PctRegNyLøn%),2)</f>
        <v>0</v>
      </c>
      <c r="M121" s="313">
        <f>L121*12</f>
        <v>0</v>
      </c>
      <c r="N121" s="322"/>
      <c r="O121" s="322"/>
      <c r="P121" s="322"/>
      <c r="Q121" s="322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F121" s="367"/>
      <c r="AH121" s="367"/>
      <c r="AI121" s="491"/>
      <c r="AJ121" s="491"/>
      <c r="AK121" s="367"/>
      <c r="AL121" s="367"/>
    </row>
    <row r="122" spans="1:38" ht="12.75" customHeight="1" x14ac:dyDescent="0.25">
      <c r="A122" s="317"/>
      <c r="B122" s="571" t="s">
        <v>405</v>
      </c>
      <c r="C122" s="572"/>
      <c r="D122" s="572"/>
      <c r="E122" s="572"/>
      <c r="F122" s="572"/>
      <c r="G122" s="572"/>
      <c r="H122" s="573"/>
      <c r="I122" s="316"/>
      <c r="J122" s="422"/>
      <c r="K122" s="337"/>
      <c r="L122" s="312">
        <f>ROUND(I122/12*($I$73/$M$73)*(1+PctRegNyLøn%),2)</f>
        <v>0</v>
      </c>
      <c r="M122" s="313">
        <f>L122*12</f>
        <v>0</v>
      </c>
      <c r="N122" s="322"/>
      <c r="O122" s="322"/>
      <c r="P122" s="322"/>
      <c r="Q122" s="322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F122" s="367"/>
      <c r="AH122" s="367"/>
      <c r="AI122" s="491"/>
      <c r="AJ122" s="491"/>
      <c r="AK122" s="367"/>
      <c r="AL122" s="367"/>
    </row>
    <row r="123" spans="1:38" ht="6" customHeight="1" x14ac:dyDescent="0.25">
      <c r="A123" s="317"/>
      <c r="B123" s="574"/>
      <c r="C123" s="575"/>
      <c r="D123" s="575"/>
      <c r="E123" s="575"/>
      <c r="F123" s="575"/>
      <c r="G123" s="575"/>
      <c r="H123" s="575"/>
      <c r="I123" s="306"/>
      <c r="J123" s="331"/>
      <c r="K123" s="337"/>
      <c r="L123" s="306"/>
      <c r="M123" s="306"/>
      <c r="N123" s="306"/>
      <c r="O123" s="306"/>
      <c r="P123" s="306"/>
      <c r="Q123" s="306"/>
      <c r="R123" s="306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F123" s="367"/>
      <c r="AH123" s="367"/>
      <c r="AI123" s="491"/>
      <c r="AJ123" s="491"/>
      <c r="AK123" s="367"/>
      <c r="AL123" s="367"/>
    </row>
    <row r="124" spans="1:38" ht="12.75" customHeight="1" x14ac:dyDescent="0.25">
      <c r="A124" s="317"/>
      <c r="B124" s="571" t="s">
        <v>406</v>
      </c>
      <c r="C124" s="572"/>
      <c r="D124" s="572"/>
      <c r="E124" s="572"/>
      <c r="F124" s="572"/>
      <c r="G124" s="572"/>
      <c r="H124" s="573"/>
      <c r="I124" s="316"/>
      <c r="J124" s="423"/>
      <c r="K124" s="337"/>
      <c r="L124" s="312">
        <f>ROUND((VLOOKUP(SUM(J83:J124),TabelLøn,StartkolonneNyLøn,1)-VLOOKUP(SUM(J83:J121),TabelLøn,StartkolonneNyLøn,1))*BeskGradNyLøn,2)+ROUND(I124/12*($I$73/$M$73)*(1+PctRegNyLøn%),2)</f>
        <v>0</v>
      </c>
      <c r="M124" s="313">
        <f>L124*12</f>
        <v>0</v>
      </c>
      <c r="N124" s="322"/>
      <c r="O124" s="322"/>
      <c r="P124" s="322"/>
      <c r="Q124" s="322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F124" s="367"/>
      <c r="AH124" s="367"/>
      <c r="AI124" s="491"/>
      <c r="AJ124" s="491"/>
      <c r="AK124" s="367"/>
      <c r="AL124" s="367"/>
    </row>
    <row r="125" spans="1:38" ht="12.75" customHeight="1" x14ac:dyDescent="0.25">
      <c r="A125" s="317"/>
      <c r="B125" s="310"/>
      <c r="C125" s="306"/>
      <c r="D125" s="306"/>
      <c r="E125" s="306"/>
      <c r="F125" s="306"/>
      <c r="G125" s="306"/>
      <c r="H125" s="306"/>
      <c r="I125" s="306"/>
      <c r="J125" s="331"/>
      <c r="K125" s="337"/>
      <c r="L125" s="306"/>
      <c r="M125" s="306"/>
      <c r="N125" s="306"/>
      <c r="O125" s="306"/>
      <c r="P125" s="306"/>
      <c r="Q125" s="306"/>
      <c r="R125" s="306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F125" s="367"/>
      <c r="AH125" s="367"/>
      <c r="AI125" s="491"/>
      <c r="AJ125" s="491"/>
      <c r="AK125" s="367"/>
      <c r="AL125" s="367"/>
    </row>
    <row r="126" spans="1:38" ht="12.75" customHeight="1" x14ac:dyDescent="0.25">
      <c r="A126" s="317"/>
      <c r="B126" s="314" t="s">
        <v>411</v>
      </c>
      <c r="C126" s="320"/>
      <c r="D126" s="320"/>
      <c r="E126" s="320"/>
      <c r="F126" s="320"/>
      <c r="G126" s="320"/>
      <c r="H126" s="321"/>
      <c r="I126" s="360">
        <f>SUM(I81:I124)</f>
        <v>0</v>
      </c>
      <c r="J126" s="361">
        <f>SUM(J81:J124)</f>
        <v>0</v>
      </c>
      <c r="K126" s="337"/>
      <c r="L126" s="344">
        <f>SUM(L81:L124)</f>
        <v>0</v>
      </c>
      <c r="M126" s="313">
        <f>SUM(M81:M124)</f>
        <v>0</v>
      </c>
      <c r="N126" s="322"/>
      <c r="O126" s="322"/>
      <c r="P126" s="322"/>
      <c r="Q126" s="322"/>
      <c r="U126" s="319"/>
      <c r="V126" s="319"/>
      <c r="AF126" s="367"/>
      <c r="AH126" s="367"/>
      <c r="AI126" s="491"/>
      <c r="AJ126" s="491"/>
      <c r="AK126" s="367"/>
      <c r="AL126" s="367"/>
    </row>
    <row r="127" spans="1:38" ht="6" customHeight="1" x14ac:dyDescent="0.25">
      <c r="A127" s="317"/>
      <c r="B127" s="310"/>
      <c r="C127" s="306"/>
      <c r="D127" s="306"/>
      <c r="E127" s="306"/>
      <c r="F127" s="306"/>
      <c r="G127" s="306"/>
      <c r="H127" s="306"/>
      <c r="I127" s="306"/>
      <c r="J127" s="331"/>
      <c r="K127" s="337"/>
      <c r="L127" s="306"/>
      <c r="M127" s="306"/>
      <c r="N127" s="306"/>
      <c r="O127" s="306"/>
      <c r="P127" s="306"/>
      <c r="Q127" s="306"/>
      <c r="R127" s="306"/>
      <c r="S127" s="335"/>
      <c r="T127" s="335"/>
      <c r="U127" s="319"/>
      <c r="V127" s="319"/>
      <c r="W127" s="335"/>
      <c r="X127" s="335"/>
      <c r="Y127" s="335"/>
      <c r="Z127" s="335"/>
      <c r="AA127" s="335"/>
      <c r="AB127" s="335"/>
      <c r="AC127" s="335"/>
      <c r="AD127" s="335"/>
      <c r="AF127" s="367"/>
      <c r="AH127" s="367"/>
      <c r="AI127" s="491"/>
      <c r="AJ127" s="491"/>
      <c r="AK127" s="367"/>
      <c r="AL127" s="367"/>
    </row>
    <row r="128" spans="1:38" ht="12.75" customHeight="1" x14ac:dyDescent="0.25">
      <c r="A128" s="317"/>
      <c r="B128" s="328" t="s">
        <v>412</v>
      </c>
      <c r="C128" s="328" t="s">
        <v>22</v>
      </c>
      <c r="D128" s="310"/>
      <c r="E128" s="310"/>
      <c r="F128" s="310"/>
      <c r="G128" s="310"/>
      <c r="H128" s="310"/>
      <c r="I128" s="342"/>
      <c r="J128" s="331"/>
      <c r="K128" s="337"/>
      <c r="L128" s="312">
        <f>ROUND(VLOOKUP(J126,TabelLønninger,+M74,2)*I75/100/12*BeskGradNyLøn,2)+(I75/100*(+L82+L87+L93+L94+L95+L96+L106+L107+L108+L116+L117+L118+L119+L121+L124))</f>
        <v>0</v>
      </c>
      <c r="M128" s="313">
        <f>L128*12</f>
        <v>0</v>
      </c>
      <c r="N128" s="322"/>
      <c r="O128" s="322"/>
      <c r="P128" s="322"/>
      <c r="Q128" s="322"/>
      <c r="U128" s="319"/>
      <c r="V128" s="319"/>
      <c r="AF128" s="367"/>
      <c r="AH128" s="367"/>
      <c r="AI128" s="491"/>
      <c r="AJ128" s="491"/>
      <c r="AK128" s="367"/>
      <c r="AL128" s="367"/>
    </row>
    <row r="129" spans="1:38" ht="12.75" customHeight="1" x14ac:dyDescent="0.25">
      <c r="A129" s="317"/>
      <c r="B129" s="314" t="s">
        <v>407</v>
      </c>
      <c r="C129" s="328"/>
      <c r="D129" s="320"/>
      <c r="E129" s="320"/>
      <c r="F129" s="320"/>
      <c r="G129" s="320"/>
      <c r="H129" s="320"/>
      <c r="I129" s="342"/>
      <c r="J129" s="362"/>
      <c r="K129" s="337"/>
      <c r="L129" s="344">
        <f>SUM(L126:L128)</f>
        <v>0</v>
      </c>
      <c r="M129" s="345">
        <f>SUM(M126:M128)</f>
        <v>0</v>
      </c>
      <c r="N129" s="363"/>
      <c r="O129" s="363"/>
      <c r="P129" s="363"/>
      <c r="Q129" s="363"/>
      <c r="U129" s="322"/>
      <c r="V129" s="322"/>
      <c r="AF129" s="367"/>
      <c r="AH129" s="367"/>
      <c r="AI129" s="491"/>
      <c r="AJ129" s="491"/>
      <c r="AK129" s="367"/>
      <c r="AL129" s="367"/>
    </row>
    <row r="130" spans="1:38" ht="12.75" customHeight="1" x14ac:dyDescent="0.25">
      <c r="A130" s="317"/>
      <c r="B130" s="314"/>
      <c r="C130" s="328"/>
      <c r="D130" s="320"/>
      <c r="E130" s="320"/>
      <c r="F130" s="320"/>
      <c r="G130" s="320"/>
      <c r="H130" s="320"/>
      <c r="I130" s="342"/>
      <c r="J130" s="362"/>
      <c r="K130" s="337"/>
      <c r="L130" s="363"/>
      <c r="M130" s="363"/>
      <c r="N130" s="363"/>
      <c r="O130" s="363"/>
      <c r="P130" s="363"/>
      <c r="Q130" s="363"/>
      <c r="U130" s="322"/>
      <c r="V130" s="322"/>
      <c r="AF130" s="367"/>
      <c r="AH130" s="367"/>
      <c r="AI130" s="491"/>
      <c r="AJ130" s="491"/>
      <c r="AK130" s="367"/>
      <c r="AL130" s="367"/>
    </row>
    <row r="131" spans="1:38" ht="12" customHeight="1" x14ac:dyDescent="0.25">
      <c r="A131" s="317"/>
      <c r="AF131" s="367"/>
      <c r="AH131" s="367"/>
      <c r="AI131" s="491"/>
      <c r="AJ131" s="491"/>
      <c r="AK131" s="367"/>
      <c r="AL131" s="367"/>
    </row>
    <row r="132" spans="1:38" ht="12" customHeight="1" x14ac:dyDescent="0.25">
      <c r="A132" s="396"/>
      <c r="B132" s="377"/>
      <c r="C132" s="679" t="s">
        <v>729</v>
      </c>
      <c r="D132" s="679"/>
      <c r="E132" s="679"/>
      <c r="F132" s="679"/>
      <c r="G132" s="679"/>
      <c r="H132" s="679"/>
      <c r="I132" s="679"/>
      <c r="J132" s="679"/>
      <c r="K132" s="679"/>
      <c r="L132" s="679"/>
      <c r="M132" s="679"/>
      <c r="N132" s="679"/>
      <c r="O132" s="679"/>
      <c r="P132" s="679"/>
      <c r="Q132" s="679"/>
      <c r="R132" s="679"/>
      <c r="S132" s="679"/>
      <c r="T132" s="679"/>
      <c r="U132" s="679"/>
      <c r="V132" s="679"/>
      <c r="W132" s="679"/>
      <c r="X132" s="679"/>
      <c r="Y132" s="679"/>
      <c r="Z132" s="679"/>
      <c r="AA132" s="679"/>
      <c r="AB132" s="679"/>
      <c r="AC132" s="679"/>
      <c r="AD132" s="377"/>
      <c r="AE132" s="378"/>
      <c r="AF132" s="367"/>
      <c r="AH132" s="367"/>
      <c r="AI132" s="491"/>
      <c r="AJ132" s="491"/>
      <c r="AK132" s="367"/>
      <c r="AL132" s="367"/>
    </row>
    <row r="133" spans="1:38" ht="12" customHeight="1" x14ac:dyDescent="0.25">
      <c r="A133" s="397"/>
      <c r="B133" s="306"/>
      <c r="C133" s="680"/>
      <c r="D133" s="680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0"/>
      <c r="Q133" s="680"/>
      <c r="R133" s="680"/>
      <c r="S133" s="680"/>
      <c r="T133" s="680"/>
      <c r="U133" s="680"/>
      <c r="V133" s="680"/>
      <c r="W133" s="680"/>
      <c r="X133" s="680"/>
      <c r="Y133" s="680"/>
      <c r="Z133" s="680"/>
      <c r="AA133" s="680"/>
      <c r="AB133" s="680"/>
      <c r="AC133" s="680"/>
      <c r="AD133" s="306"/>
      <c r="AE133" s="384"/>
      <c r="AF133" s="367"/>
      <c r="AH133" s="367"/>
      <c r="AI133" s="491"/>
      <c r="AJ133" s="491"/>
      <c r="AK133" s="367"/>
      <c r="AL133" s="367"/>
    </row>
    <row r="134" spans="1:38" ht="12" customHeight="1" x14ac:dyDescent="0.25">
      <c r="A134" s="397"/>
      <c r="B134" s="306"/>
      <c r="C134" s="306"/>
      <c r="D134" s="306"/>
      <c r="E134" s="306"/>
      <c r="F134" s="306"/>
      <c r="G134" s="306"/>
      <c r="H134" s="306"/>
      <c r="I134" s="306"/>
      <c r="J134" s="331"/>
      <c r="K134" s="331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84"/>
      <c r="AF134" s="367"/>
      <c r="AH134" s="367"/>
      <c r="AI134" s="491"/>
      <c r="AJ134" s="491"/>
      <c r="AK134" s="367"/>
      <c r="AL134" s="367"/>
    </row>
    <row r="135" spans="1:38" ht="12.75" customHeight="1" x14ac:dyDescent="0.25">
      <c r="A135" s="379"/>
      <c r="B135" s="306"/>
      <c r="C135" s="404" t="s">
        <v>426</v>
      </c>
      <c r="D135" s="306"/>
      <c r="E135" s="306"/>
      <c r="F135" s="306"/>
      <c r="G135" s="306"/>
      <c r="H135" s="306"/>
      <c r="I135" s="306"/>
      <c r="J135" s="331"/>
      <c r="K135" s="331"/>
      <c r="L135" s="408">
        <f>+L54-L126</f>
        <v>0</v>
      </c>
      <c r="M135" s="404" t="s">
        <v>429</v>
      </c>
      <c r="N135" s="404"/>
      <c r="O135" s="404"/>
      <c r="P135" s="404"/>
      <c r="Q135" s="404"/>
      <c r="R135" s="404"/>
      <c r="S135" s="406"/>
      <c r="T135" s="406"/>
      <c r="U135" s="406"/>
      <c r="V135" s="673">
        <f>+L135*12</f>
        <v>0</v>
      </c>
      <c r="W135" s="673"/>
      <c r="X135" s="673"/>
      <c r="Y135" s="673"/>
      <c r="Z135" s="406"/>
      <c r="AA135" s="406" t="s">
        <v>430</v>
      </c>
      <c r="AB135" s="406"/>
      <c r="AC135" s="406"/>
      <c r="AD135" s="306"/>
      <c r="AE135" s="384"/>
      <c r="AF135" s="367"/>
      <c r="AH135" s="367"/>
      <c r="AI135" s="491"/>
      <c r="AJ135" s="491"/>
      <c r="AK135" s="367"/>
      <c r="AL135" s="367"/>
    </row>
    <row r="136" spans="1:38" ht="6.75" customHeight="1" x14ac:dyDescent="0.25">
      <c r="A136" s="379"/>
      <c r="B136" s="306"/>
      <c r="C136" s="404"/>
      <c r="D136" s="306"/>
      <c r="E136" s="306"/>
      <c r="F136" s="306"/>
      <c r="G136" s="306"/>
      <c r="H136" s="306"/>
      <c r="I136" s="306"/>
      <c r="J136" s="331"/>
      <c r="K136" s="331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7"/>
      <c r="W136" s="407"/>
      <c r="X136" s="407"/>
      <c r="Y136" s="407"/>
      <c r="Z136" s="406"/>
      <c r="AA136" s="406"/>
      <c r="AB136" s="406"/>
      <c r="AC136" s="406"/>
      <c r="AD136" s="306"/>
      <c r="AE136" s="384"/>
      <c r="AF136" s="367"/>
      <c r="AH136" s="367"/>
      <c r="AI136" s="491"/>
      <c r="AJ136" s="491"/>
      <c r="AK136" s="367"/>
      <c r="AL136" s="367"/>
    </row>
    <row r="137" spans="1:38" s="352" customFormat="1" ht="12.75" customHeight="1" x14ac:dyDescent="0.25">
      <c r="A137" s="398"/>
      <c r="B137" s="306"/>
      <c r="C137" s="404" t="s">
        <v>427</v>
      </c>
      <c r="D137" s="306"/>
      <c r="E137" s="306"/>
      <c r="F137" s="306"/>
      <c r="G137" s="306"/>
      <c r="H137" s="306"/>
      <c r="I137" s="306"/>
      <c r="J137" s="331"/>
      <c r="K137" s="331"/>
      <c r="L137" s="405">
        <f>+L56-L128</f>
        <v>0</v>
      </c>
      <c r="M137" s="406" t="s">
        <v>429</v>
      </c>
      <c r="N137" s="406"/>
      <c r="O137" s="406"/>
      <c r="P137" s="406"/>
      <c r="Q137" s="406"/>
      <c r="R137" s="406"/>
      <c r="S137" s="406"/>
      <c r="T137" s="406"/>
      <c r="U137" s="406"/>
      <c r="V137" s="673">
        <f>+L137*12</f>
        <v>0</v>
      </c>
      <c r="W137" s="673"/>
      <c r="X137" s="673"/>
      <c r="Y137" s="673"/>
      <c r="Z137" s="406"/>
      <c r="AA137" s="406" t="s">
        <v>430</v>
      </c>
      <c r="AB137" s="406"/>
      <c r="AC137" s="406"/>
      <c r="AD137" s="306"/>
      <c r="AE137" s="399"/>
      <c r="AF137" s="369"/>
      <c r="AG137" s="475"/>
      <c r="AH137" s="369"/>
      <c r="AI137" s="493"/>
      <c r="AJ137" s="493"/>
      <c r="AK137" s="369"/>
      <c r="AL137" s="369"/>
    </row>
    <row r="138" spans="1:38" ht="21" customHeight="1" x14ac:dyDescent="0.25">
      <c r="A138" s="379"/>
      <c r="B138" s="306"/>
      <c r="C138" s="404" t="s">
        <v>428</v>
      </c>
      <c r="D138" s="306"/>
      <c r="E138" s="306"/>
      <c r="F138" s="306"/>
      <c r="G138" s="306"/>
      <c r="H138" s="306"/>
      <c r="I138" s="306"/>
      <c r="J138" s="331"/>
      <c r="K138" s="331"/>
      <c r="L138" s="405">
        <f>+L57-L129</f>
        <v>0</v>
      </c>
      <c r="M138" s="406" t="s">
        <v>429</v>
      </c>
      <c r="N138" s="406"/>
      <c r="O138" s="406"/>
      <c r="P138" s="406"/>
      <c r="Q138" s="406"/>
      <c r="R138" s="406"/>
      <c r="S138" s="406"/>
      <c r="T138" s="406"/>
      <c r="U138" s="406"/>
      <c r="V138" s="674">
        <f>+L138*12</f>
        <v>0</v>
      </c>
      <c r="W138" s="674"/>
      <c r="X138" s="674"/>
      <c r="Y138" s="674"/>
      <c r="Z138" s="404"/>
      <c r="AA138" s="404" t="s">
        <v>430</v>
      </c>
      <c r="AB138" s="404"/>
      <c r="AC138" s="404"/>
      <c r="AD138" s="306"/>
      <c r="AE138" s="384"/>
      <c r="AF138" s="367"/>
      <c r="AH138" s="367"/>
      <c r="AI138" s="491"/>
      <c r="AJ138" s="491"/>
      <c r="AK138" s="367"/>
      <c r="AL138" s="367"/>
    </row>
    <row r="139" spans="1:38" ht="17.25" customHeight="1" x14ac:dyDescent="0.25">
      <c r="A139" s="400"/>
      <c r="B139" s="401"/>
      <c r="C139" s="401"/>
      <c r="D139" s="401"/>
      <c r="E139" s="401"/>
      <c r="F139" s="401"/>
      <c r="G139" s="401"/>
      <c r="H139" s="401"/>
      <c r="I139" s="401"/>
      <c r="J139" s="402"/>
      <c r="K139" s="402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3"/>
      <c r="AF139" s="367"/>
      <c r="AH139" s="367"/>
      <c r="AI139" s="491"/>
      <c r="AJ139" s="491"/>
      <c r="AK139" s="367"/>
      <c r="AL139" s="367"/>
    </row>
  </sheetData>
  <sheetProtection password="CF28" sheet="1" objects="1" scenarios="1"/>
  <customSheetViews>
    <customSheetView guid="{40555330-83BF-42FA-97D0-8A355A41C0A0}" scale="140" showPageBreaks="1" printArea="1" hiddenColumns="1" view="pageBreakPreview" topLeftCell="A43">
      <selection activeCell="I8" sqref="I8:M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03">
    <mergeCell ref="AI4:AJ6"/>
    <mergeCell ref="S26:AD26"/>
    <mergeCell ref="S27:AD27"/>
    <mergeCell ref="AG4:AG5"/>
    <mergeCell ref="AG7:AG8"/>
    <mergeCell ref="S20:AD21"/>
    <mergeCell ref="S44:AD44"/>
    <mergeCell ref="S42:AD42"/>
    <mergeCell ref="S31:AD31"/>
    <mergeCell ref="V11:AC11"/>
    <mergeCell ref="S36:AD37"/>
    <mergeCell ref="I5:M5"/>
    <mergeCell ref="Y12:AC12"/>
    <mergeCell ref="V12:W12"/>
    <mergeCell ref="S40:AD40"/>
    <mergeCell ref="S41:AD41"/>
    <mergeCell ref="S34:AD34"/>
    <mergeCell ref="S35:AD35"/>
    <mergeCell ref="S98:AD98"/>
    <mergeCell ref="S110:AD110"/>
    <mergeCell ref="S86:AD86"/>
    <mergeCell ref="R100:AE101"/>
    <mergeCell ref="S103:AD103"/>
    <mergeCell ref="S87:AD87"/>
    <mergeCell ref="T78:AC82"/>
    <mergeCell ref="S46:AD46"/>
    <mergeCell ref="S49:AD49"/>
    <mergeCell ref="S50:AD50"/>
    <mergeCell ref="S51:AD51"/>
    <mergeCell ref="S52:AD52"/>
    <mergeCell ref="B59:AD62"/>
    <mergeCell ref="E65:L65"/>
    <mergeCell ref="M65:R65"/>
    <mergeCell ref="A71:M71"/>
    <mergeCell ref="S89:AD89"/>
    <mergeCell ref="B65:D65"/>
    <mergeCell ref="S65:T65"/>
    <mergeCell ref="V138:Y138"/>
    <mergeCell ref="S95:AD95"/>
    <mergeCell ref="S96:AD96"/>
    <mergeCell ref="S90:AD90"/>
    <mergeCell ref="S92:AD92"/>
    <mergeCell ref="V137:Y137"/>
    <mergeCell ref="V135:Y135"/>
    <mergeCell ref="S115:AD115"/>
    <mergeCell ref="S105:AD105"/>
    <mergeCell ref="S112:AD112"/>
    <mergeCell ref="S111:AD111"/>
    <mergeCell ref="C132:AC133"/>
    <mergeCell ref="S91:AD91"/>
    <mergeCell ref="S118:AD118"/>
    <mergeCell ref="S104:AD104"/>
    <mergeCell ref="S106:AD106"/>
    <mergeCell ref="S107:AD107"/>
    <mergeCell ref="S117:AD117"/>
    <mergeCell ref="S116:AD116"/>
    <mergeCell ref="S119:AD119"/>
    <mergeCell ref="S93:AD93"/>
    <mergeCell ref="S99:AD99"/>
    <mergeCell ref="S108:AD108"/>
    <mergeCell ref="S94:AD94"/>
    <mergeCell ref="K75:L75"/>
    <mergeCell ref="I72:M72"/>
    <mergeCell ref="B67:I67"/>
    <mergeCell ref="R83:AE84"/>
    <mergeCell ref="M66:AD66"/>
    <mergeCell ref="Y77:AC77"/>
    <mergeCell ref="S69:AD70"/>
    <mergeCell ref="W75:AD75"/>
    <mergeCell ref="AG67:AJ67"/>
    <mergeCell ref="S28:AD28"/>
    <mergeCell ref="S29:AD29"/>
    <mergeCell ref="S30:AD30"/>
    <mergeCell ref="AI54:AJ55"/>
    <mergeCell ref="S39:AD39"/>
    <mergeCell ref="AG65:AJ65"/>
    <mergeCell ref="S32:AD32"/>
    <mergeCell ref="AG58:AJ59"/>
    <mergeCell ref="S45:AD45"/>
    <mergeCell ref="B2:M2"/>
    <mergeCell ref="Y14:AC14"/>
    <mergeCell ref="I6:M6"/>
    <mergeCell ref="AG66:AJ66"/>
    <mergeCell ref="S1:AD2"/>
    <mergeCell ref="A3:M3"/>
    <mergeCell ref="I4:M4"/>
    <mergeCell ref="C8:H9"/>
    <mergeCell ref="I8:M9"/>
    <mergeCell ref="T8:T9"/>
    <mergeCell ref="V9:AC10"/>
    <mergeCell ref="K12:L12"/>
    <mergeCell ref="Y4:AC4"/>
    <mergeCell ref="V65:AD65"/>
    <mergeCell ref="B66:L66"/>
    <mergeCell ref="I10:L10"/>
    <mergeCell ref="V7:AC8"/>
    <mergeCell ref="N23:R23"/>
    <mergeCell ref="S23:AD23"/>
    <mergeCell ref="S24:AD24"/>
    <mergeCell ref="O10:O22"/>
    <mergeCell ref="AI7:AJ9"/>
    <mergeCell ref="T15:AC19"/>
    <mergeCell ref="V6:AC6"/>
  </mergeCells>
  <conditionalFormatting sqref="C56:C58 B54 B128:C130 B56:B59 B121:H122 B124:H124 B126">
    <cfRule type="cellIs" dxfId="1" priority="20" stopIfTrue="1" operator="equal">
      <formula>"Fejl! Udfyld ENTEN kr.beløb ELLER Trin"</formula>
    </cfRule>
  </conditionalFormatting>
  <conditionalFormatting sqref="B74:I74 B11:I11">
    <cfRule type="cellIs" dxfId="0" priority="21" stopIfTrue="1" operator="notEqual">
      <formula>"Lønkode"</formula>
    </cfRule>
  </conditionalFormatting>
  <pageMargins left="0.19685039370078741" right="0.19685039370078741" top="0.31496062992125984" bottom="0.31496062992125984" header="0.39370078740157483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L50"/>
  <sheetViews>
    <sheetView workbookViewId="0">
      <selection activeCell="A21" sqref="A21"/>
    </sheetView>
  </sheetViews>
  <sheetFormatPr defaultRowHeight="12.75" x14ac:dyDescent="0.2"/>
  <cols>
    <col min="1" max="1" width="39.1640625" style="542" customWidth="1"/>
    <col min="2" max="3" width="17.5" style="542" customWidth="1"/>
    <col min="4" max="9" width="9.33203125" style="542"/>
    <col min="10" max="10" width="0.33203125" style="542" customWidth="1"/>
    <col min="11" max="11" width="18.83203125" style="542" customWidth="1"/>
    <col min="12" max="12" width="9.33203125" style="542" customWidth="1"/>
    <col min="13" max="16384" width="9.33203125" style="542"/>
  </cols>
  <sheetData>
    <row r="1" spans="1:12" x14ac:dyDescent="0.2">
      <c r="A1" s="541" t="s">
        <v>292</v>
      </c>
    </row>
    <row r="3" spans="1:12" x14ac:dyDescent="0.2">
      <c r="A3" s="542" t="s">
        <v>293</v>
      </c>
    </row>
    <row r="4" spans="1:12" x14ac:dyDescent="0.2">
      <c r="A4" s="542" t="s">
        <v>294</v>
      </c>
    </row>
    <row r="5" spans="1:12" x14ac:dyDescent="0.2">
      <c r="A5" s="542" t="s">
        <v>296</v>
      </c>
    </row>
    <row r="7" spans="1:12" x14ac:dyDescent="0.2">
      <c r="A7" s="543" t="str">
        <f>"Det årlige beløb i "&amp;Dato4&amp;" niveau skal tilbageføres til grundsatsniveau."</f>
        <v>Det årlige beløb i 1/1-2017 niveau skal tilbageføres til grundsatsniveau.</v>
      </c>
    </row>
    <row r="9" spans="1:12" x14ac:dyDescent="0.2">
      <c r="A9" s="542" t="s">
        <v>215</v>
      </c>
    </row>
    <row r="10" spans="1:12" x14ac:dyDescent="0.2">
      <c r="A10" s="544"/>
      <c r="B10" s="545" t="s">
        <v>217</v>
      </c>
      <c r="C10" s="545" t="s">
        <v>218</v>
      </c>
    </row>
    <row r="11" spans="1:12" x14ac:dyDescent="0.2">
      <c r="A11" s="544" t="s">
        <v>102</v>
      </c>
      <c r="B11" s="545">
        <v>0</v>
      </c>
      <c r="C11" s="546"/>
      <c r="D11" s="547" t="s">
        <v>382</v>
      </c>
      <c r="K11" s="548" t="s">
        <v>273</v>
      </c>
      <c r="L11" s="548">
        <f>VLOOKUP(LønkodeTillæg,TabelPctReg,2)</f>
        <v>34.464599999999997</v>
      </c>
    </row>
    <row r="12" spans="1:12" x14ac:dyDescent="0.2">
      <c r="A12" s="549"/>
      <c r="B12" s="545"/>
      <c r="C12" s="545"/>
      <c r="D12" s="547" t="s">
        <v>383</v>
      </c>
    </row>
    <row r="13" spans="1:12" x14ac:dyDescent="0.2">
      <c r="A13" s="550" t="str">
        <f>"Årligt tillæg i "&amp;Dato4&amp;" niveau"</f>
        <v>Årligt tillæg i 1/1-2017 niveau</v>
      </c>
      <c r="B13" s="551">
        <v>20000</v>
      </c>
      <c r="C13" s="552"/>
    </row>
    <row r="14" spans="1:12" x14ac:dyDescent="0.2">
      <c r="A14" s="544" t="s">
        <v>291</v>
      </c>
      <c r="B14" s="545" t="str">
        <f>TEXT((100+procentregulering)/100,"#,000000")</f>
        <v>1,344646</v>
      </c>
      <c r="C14" s="553" t="str">
        <f>TEXT((100+PctregTillæg)/100,"#,000000")</f>
        <v>1,344646</v>
      </c>
    </row>
    <row r="15" spans="1:12" x14ac:dyDescent="0.2">
      <c r="A15" s="544" t="s">
        <v>295</v>
      </c>
      <c r="B15" s="551">
        <f>B13/(1+procentregulering%)</f>
        <v>14873.803216608683</v>
      </c>
      <c r="C15" s="551">
        <f>C13/(1+PctregTillæg%)</f>
        <v>0</v>
      </c>
    </row>
    <row r="16" spans="1:12" x14ac:dyDescent="0.2">
      <c r="A16" s="544" t="s">
        <v>216</v>
      </c>
      <c r="B16" s="551">
        <f>ROUND(B15,0)</f>
        <v>14874</v>
      </c>
      <c r="C16" s="551">
        <f>ROUND(C15,0)</f>
        <v>0</v>
      </c>
    </row>
    <row r="19" spans="1:5" x14ac:dyDescent="0.2">
      <c r="A19" s="541" t="s">
        <v>220</v>
      </c>
      <c r="B19" s="554" t="s">
        <v>289</v>
      </c>
      <c r="C19" s="554" t="s">
        <v>290</v>
      </c>
    </row>
    <row r="20" spans="1:5" x14ac:dyDescent="0.2">
      <c r="A20" s="541"/>
      <c r="B20" s="554"/>
      <c r="C20" s="554"/>
    </row>
    <row r="21" spans="1:5" x14ac:dyDescent="0.2">
      <c r="A21" s="555" t="s">
        <v>757</v>
      </c>
      <c r="B21" s="556">
        <v>0.31779800000000002</v>
      </c>
      <c r="C21" s="556">
        <v>0.15582499999999999</v>
      </c>
      <c r="E21" s="542" t="s">
        <v>760</v>
      </c>
    </row>
    <row r="22" spans="1:5" x14ac:dyDescent="0.2">
      <c r="A22" s="555" t="s">
        <v>756</v>
      </c>
      <c r="B22" s="556">
        <v>0.31133300000000003</v>
      </c>
      <c r="C22" s="556">
        <v>0.15015500000000001</v>
      </c>
      <c r="E22" s="542" t="s">
        <v>758</v>
      </c>
    </row>
    <row r="23" spans="1:5" x14ac:dyDescent="0.2">
      <c r="A23" s="555" t="s">
        <v>755</v>
      </c>
      <c r="B23" s="556">
        <v>0.305367</v>
      </c>
      <c r="C23" s="556">
        <v>0.144922</v>
      </c>
      <c r="E23" s="542" t="s">
        <v>759</v>
      </c>
    </row>
    <row r="24" spans="1:5" x14ac:dyDescent="0.2">
      <c r="A24" s="555" t="s">
        <v>731</v>
      </c>
      <c r="B24" s="556">
        <v>0.29295500000000002</v>
      </c>
      <c r="C24" s="556">
        <v>0.13403499999999999</v>
      </c>
    </row>
    <row r="25" spans="1:5" x14ac:dyDescent="0.2">
      <c r="A25" s="555" t="s">
        <v>685</v>
      </c>
      <c r="B25" s="556">
        <v>0.28489999999999999</v>
      </c>
      <c r="C25" s="556">
        <v>0.12697</v>
      </c>
    </row>
    <row r="26" spans="1:5" s="541" customFormat="1" x14ac:dyDescent="0.2">
      <c r="A26" s="555" t="s">
        <v>413</v>
      </c>
      <c r="B26" s="556">
        <v>0.27854600000000002</v>
      </c>
      <c r="C26" s="556">
        <v>0.121397</v>
      </c>
    </row>
    <row r="27" spans="1:5" x14ac:dyDescent="0.2">
      <c r="A27" s="555" t="s">
        <v>380</v>
      </c>
      <c r="B27" s="556">
        <v>0.27708899999999997</v>
      </c>
      <c r="C27" s="556">
        <v>0.120119</v>
      </c>
    </row>
    <row r="28" spans="1:5" x14ac:dyDescent="0.2">
      <c r="A28" s="555" t="s">
        <v>381</v>
      </c>
      <c r="B28" s="556">
        <v>0.270735</v>
      </c>
      <c r="C28" s="556">
        <v>0.114546</v>
      </c>
    </row>
    <row r="29" spans="1:5" x14ac:dyDescent="0.2">
      <c r="A29" s="555" t="s">
        <v>356</v>
      </c>
      <c r="B29" s="556">
        <v>0.26890399999999998</v>
      </c>
      <c r="C29" s="556">
        <v>0.11294</v>
      </c>
    </row>
    <row r="30" spans="1:5" x14ac:dyDescent="0.2">
      <c r="A30" s="557">
        <v>40269</v>
      </c>
      <c r="B30" s="556">
        <v>0.24881200000000001</v>
      </c>
      <c r="C30" s="556">
        <v>9.5316999999999999E-2</v>
      </c>
    </row>
    <row r="31" spans="1:5" x14ac:dyDescent="0.2">
      <c r="A31" s="558">
        <v>40087</v>
      </c>
      <c r="B31" s="556">
        <v>0.24699499999999999</v>
      </c>
      <c r="C31" s="556">
        <v>9.3723000000000001E-2</v>
      </c>
    </row>
    <row r="32" spans="1:5" x14ac:dyDescent="0.2">
      <c r="A32" s="558">
        <v>39904</v>
      </c>
      <c r="B32" s="556">
        <v>0.23311399999999999</v>
      </c>
      <c r="C32" s="556">
        <v>8.1547999999999995E-2</v>
      </c>
    </row>
    <row r="33" spans="1:3" x14ac:dyDescent="0.2">
      <c r="A33" s="558">
        <v>39722</v>
      </c>
      <c r="B33" s="559">
        <v>0.23078299999999999</v>
      </c>
      <c r="C33" s="559">
        <v>7.9504000000000005E-2</v>
      </c>
    </row>
    <row r="34" spans="1:3" x14ac:dyDescent="0.2">
      <c r="A34" s="558">
        <v>39539</v>
      </c>
      <c r="B34" s="559">
        <v>0.212953</v>
      </c>
      <c r="C34" s="559">
        <v>6.3865000000000005E-2</v>
      </c>
    </row>
    <row r="35" spans="1:3" x14ac:dyDescent="0.2">
      <c r="A35" s="560">
        <v>39356</v>
      </c>
      <c r="B35" s="559">
        <v>0.165293</v>
      </c>
      <c r="C35" s="559">
        <v>2.2062999999999999E-2</v>
      </c>
    </row>
    <row r="36" spans="1:3" x14ac:dyDescent="0.2">
      <c r="A36" s="560">
        <v>39173</v>
      </c>
      <c r="B36" s="559">
        <v>0.16053500000000001</v>
      </c>
      <c r="C36" s="559">
        <v>1.789E-2</v>
      </c>
    </row>
    <row r="37" spans="1:3" x14ac:dyDescent="0.2">
      <c r="A37" s="560">
        <v>38991</v>
      </c>
      <c r="B37" s="559">
        <v>0.15153900000000001</v>
      </c>
      <c r="C37" s="559">
        <v>0.01</v>
      </c>
    </row>
    <row r="38" spans="1:3" x14ac:dyDescent="0.2">
      <c r="A38" s="560">
        <v>38718</v>
      </c>
      <c r="B38" s="559">
        <v>0.14013800000000001</v>
      </c>
      <c r="C38" s="559">
        <v>0</v>
      </c>
    </row>
    <row r="39" spans="1:3" x14ac:dyDescent="0.2">
      <c r="A39" s="560">
        <v>38443</v>
      </c>
      <c r="B39" s="559">
        <v>0.124454</v>
      </c>
    </row>
    <row r="40" spans="1:3" x14ac:dyDescent="0.2">
      <c r="A40" s="560">
        <v>38261</v>
      </c>
      <c r="B40" s="559">
        <v>0.124454</v>
      </c>
    </row>
    <row r="41" spans="1:3" x14ac:dyDescent="0.2">
      <c r="A41" s="560">
        <v>38200</v>
      </c>
      <c r="B41" s="559">
        <v>0.12003800000000001</v>
      </c>
    </row>
    <row r="42" spans="1:3" x14ac:dyDescent="0.2">
      <c r="A42" s="560">
        <v>38078</v>
      </c>
      <c r="B42" s="559">
        <v>0.109523</v>
      </c>
    </row>
    <row r="43" spans="1:3" x14ac:dyDescent="0.2">
      <c r="A43" s="560">
        <v>37895</v>
      </c>
      <c r="B43" s="559">
        <v>9.2674999999999993E-2</v>
      </c>
    </row>
    <row r="44" spans="1:3" x14ac:dyDescent="0.2">
      <c r="A44" s="560">
        <v>37834</v>
      </c>
      <c r="B44" s="559">
        <v>8.8679999999999995E-2</v>
      </c>
    </row>
    <row r="45" spans="1:3" x14ac:dyDescent="0.2">
      <c r="A45" s="560">
        <v>37712</v>
      </c>
      <c r="B45" s="559">
        <v>8.3421999999999996E-2</v>
      </c>
    </row>
    <row r="46" spans="1:3" x14ac:dyDescent="0.2">
      <c r="A46" s="560">
        <v>37347</v>
      </c>
      <c r="B46" s="559">
        <v>6.1566000000000003E-2</v>
      </c>
    </row>
    <row r="47" spans="1:3" x14ac:dyDescent="0.2">
      <c r="A47" s="560">
        <v>37165</v>
      </c>
      <c r="B47" s="559">
        <v>5.1157000000000001E-2</v>
      </c>
    </row>
    <row r="48" spans="1:3" x14ac:dyDescent="0.2">
      <c r="A48" s="560">
        <v>36982</v>
      </c>
      <c r="B48" s="559">
        <v>4.0661999999999997E-2</v>
      </c>
    </row>
    <row r="49" spans="1:2" x14ac:dyDescent="0.2">
      <c r="A49" s="560">
        <v>36617</v>
      </c>
      <c r="B49" s="559">
        <v>1.8558999999999999E-2</v>
      </c>
    </row>
    <row r="50" spans="1:2" x14ac:dyDescent="0.2">
      <c r="A50" s="560">
        <v>36616</v>
      </c>
      <c r="B50" s="559">
        <v>0</v>
      </c>
    </row>
  </sheetData>
  <customSheetViews>
    <customSheetView guid="{40555330-83BF-42FA-97D0-8A355A41C0A0}" hiddenColumns="1" topLeftCell="A13">
      <selection activeCell="C10" sqref="C10"/>
      <pageMargins left="0.31496062992125984" right="0.31496062992125984" top="0.39370078740157483" bottom="0.39370078740157483" header="0" footer="0"/>
      <pageSetup paperSize="9" orientation="portrait" blackAndWhite="1" r:id="rId1"/>
      <headerFooter alignWithMargins="0"/>
    </customSheetView>
  </customSheetViews>
  <phoneticPr fontId="0" type="noConversion"/>
  <pageMargins left="0.31496062992125984" right="0.31496062992125984" top="0.39370078740157483" bottom="0.39370078740157483" header="0" footer="0"/>
  <pageSetup paperSize="9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00B0F0"/>
  </sheetPr>
  <dimension ref="A1:AB69"/>
  <sheetViews>
    <sheetView zoomScale="115" zoomScaleNormal="115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Q11" sqref="Q11:Q25"/>
    </sheetView>
  </sheetViews>
  <sheetFormatPr defaultRowHeight="11.25" x14ac:dyDescent="0.2"/>
  <cols>
    <col min="1" max="1" width="8" style="302" customWidth="1"/>
    <col min="2" max="2" width="12.33203125" style="302" customWidth="1"/>
    <col min="3" max="4" width="10.83203125" style="302" customWidth="1"/>
    <col min="5" max="5" width="6" style="302" customWidth="1"/>
    <col min="6" max="6" width="10.83203125" style="302" customWidth="1"/>
    <col min="7" max="7" width="11.33203125" style="302" customWidth="1"/>
    <col min="8" max="8" width="15" style="416" customWidth="1"/>
    <col min="9" max="9" width="10.83203125" style="416" customWidth="1"/>
    <col min="10" max="10" width="13.1640625" style="302" bestFit="1" customWidth="1"/>
    <col min="11" max="11" width="8.6640625" style="302" customWidth="1"/>
    <col min="12" max="13" width="10.1640625" style="302" bestFit="1" customWidth="1"/>
    <col min="14" max="14" width="12.1640625" style="302" customWidth="1"/>
    <col min="15" max="15" width="11.5" style="302" customWidth="1"/>
    <col min="16" max="16" width="11" style="302" bestFit="1" customWidth="1"/>
    <col min="17" max="17" width="10.1640625" style="302" bestFit="1" customWidth="1"/>
    <col min="18" max="18" width="11.1640625" style="302" customWidth="1"/>
    <col min="19" max="19" width="14.5" style="302" customWidth="1"/>
    <col min="20" max="20" width="14.6640625" style="301" customWidth="1"/>
    <col min="21" max="16384" width="9.33203125" style="301"/>
  </cols>
  <sheetData>
    <row r="1" spans="1:28" s="470" customFormat="1" ht="12.75" x14ac:dyDescent="0.2">
      <c r="A1" s="464"/>
      <c r="B1" s="467"/>
      <c r="C1" s="467"/>
      <c r="D1" s="467"/>
      <c r="E1" s="467"/>
      <c r="F1" s="467"/>
      <c r="G1" s="467"/>
      <c r="H1" s="467" t="s">
        <v>751</v>
      </c>
      <c r="I1" s="467"/>
      <c r="J1" s="467" t="s">
        <v>290</v>
      </c>
      <c r="K1" s="467"/>
      <c r="L1" s="467"/>
      <c r="M1" s="467"/>
      <c r="N1" s="467"/>
      <c r="O1" s="467"/>
      <c r="P1" s="467"/>
      <c r="Q1" s="467"/>
      <c r="R1" s="467"/>
      <c r="S1" s="464"/>
    </row>
    <row r="2" spans="1:28" s="470" customFormat="1" ht="12.75" x14ac:dyDescent="0.2">
      <c r="A2" s="464"/>
      <c r="B2" s="467"/>
      <c r="C2" s="467"/>
      <c r="D2" s="467"/>
      <c r="E2" s="467"/>
      <c r="F2" s="467"/>
      <c r="G2" s="467"/>
      <c r="H2" s="467" t="s">
        <v>387</v>
      </c>
      <c r="I2" s="467"/>
      <c r="J2" s="467" t="s">
        <v>387</v>
      </c>
      <c r="K2" s="467"/>
      <c r="L2" s="467"/>
      <c r="M2" s="467"/>
      <c r="N2" s="467"/>
      <c r="O2" s="467"/>
      <c r="P2" s="467"/>
      <c r="Q2" s="467"/>
      <c r="R2" s="467"/>
      <c r="S2" s="464"/>
    </row>
    <row r="3" spans="1:28" s="470" customFormat="1" ht="12.75" x14ac:dyDescent="0.2">
      <c r="A3" s="464" t="str">
        <f>"Oversigt over nettolønninger inkl. 3 dele pension pr. "&amp;Dato2</f>
        <v>Oversigt over nettolønninger inkl. 3 dele pension pr. 1. januar 2017</v>
      </c>
      <c r="B3" s="467"/>
      <c r="C3" s="467"/>
      <c r="D3" s="467"/>
      <c r="E3" s="467"/>
      <c r="F3" s="467"/>
      <c r="G3" s="467"/>
      <c r="H3" s="467">
        <f>+procentregulering</f>
        <v>34.464599999999997</v>
      </c>
      <c r="I3" s="467"/>
      <c r="J3" s="467">
        <f>+ProcentreguleringSund</f>
        <v>17.937200000000001</v>
      </c>
      <c r="K3" s="467"/>
      <c r="L3" s="467"/>
      <c r="M3" s="467"/>
      <c r="N3" s="467"/>
      <c r="O3" s="467"/>
      <c r="P3" s="467"/>
      <c r="Q3" s="467"/>
      <c r="R3" s="467"/>
      <c r="S3" s="464"/>
    </row>
    <row r="4" spans="1:28" s="470" customFormat="1" ht="12.75" x14ac:dyDescent="0.2">
      <c r="A4" s="464"/>
      <c r="B4" s="467"/>
      <c r="C4" s="467"/>
      <c r="D4" s="467"/>
      <c r="E4" s="467"/>
      <c r="F4" s="467"/>
      <c r="G4" s="467"/>
      <c r="H4" s="467">
        <f>+(H3+100)/100</f>
        <v>1.344646</v>
      </c>
      <c r="I4" s="467"/>
      <c r="J4" s="467">
        <f>+(100+J3)/100</f>
        <v>1.1793720000000001</v>
      </c>
      <c r="K4" s="467"/>
      <c r="L4" s="467"/>
      <c r="M4" s="467"/>
      <c r="N4" s="467" t="s">
        <v>274</v>
      </c>
      <c r="O4" s="467"/>
      <c r="P4" s="467"/>
      <c r="Q4" s="467"/>
      <c r="R4" s="467" t="s">
        <v>276</v>
      </c>
      <c r="S4" s="464"/>
    </row>
    <row r="5" spans="1:28" s="470" customFormat="1" ht="12.75" x14ac:dyDescent="0.2">
      <c r="A5" s="464"/>
      <c r="B5" s="467"/>
      <c r="C5" s="467"/>
      <c r="D5" s="467" t="s">
        <v>101</v>
      </c>
      <c r="E5" s="467"/>
      <c r="F5" s="467"/>
      <c r="G5" s="467" t="s">
        <v>100</v>
      </c>
      <c r="H5" s="467"/>
      <c r="I5" s="467"/>
      <c r="J5" s="467"/>
      <c r="K5" s="467"/>
      <c r="L5" s="467"/>
      <c r="M5" s="467"/>
      <c r="N5" s="467" t="s">
        <v>275</v>
      </c>
      <c r="O5" s="467"/>
      <c r="P5" s="467"/>
      <c r="Q5" s="467"/>
      <c r="R5" s="467" t="s">
        <v>277</v>
      </c>
      <c r="S5" s="464"/>
    </row>
    <row r="6" spans="1:28" s="470" customFormat="1" ht="12.75" x14ac:dyDescent="0.2">
      <c r="A6" s="464"/>
      <c r="B6" s="467"/>
      <c r="C6" s="467"/>
      <c r="D6" s="467">
        <f>COLUMN()</f>
        <v>4</v>
      </c>
      <c r="E6" s="467"/>
      <c r="F6" s="467"/>
      <c r="G6" s="467">
        <f>COLUMN()</f>
        <v>7</v>
      </c>
      <c r="H6" s="467"/>
      <c r="I6" s="467"/>
      <c r="J6" s="467">
        <v>2006</v>
      </c>
      <c r="K6" s="467">
        <v>2006</v>
      </c>
      <c r="L6" s="467"/>
      <c r="M6" s="467"/>
      <c r="N6" s="467">
        <f>COLUMN()</f>
        <v>14</v>
      </c>
      <c r="O6" s="467">
        <v>2006</v>
      </c>
      <c r="P6" s="467"/>
      <c r="Q6" s="467"/>
      <c r="R6" s="467">
        <f>COLUMN()</f>
        <v>18</v>
      </c>
      <c r="S6" s="464"/>
    </row>
    <row r="7" spans="1:28" s="470" customFormat="1" ht="12.75" x14ac:dyDescent="0.2">
      <c r="A7" s="464" t="s">
        <v>19</v>
      </c>
      <c r="B7" s="467" t="s">
        <v>222</v>
      </c>
      <c r="C7" s="467" t="s">
        <v>3</v>
      </c>
      <c r="D7" s="467" t="s">
        <v>3</v>
      </c>
      <c r="E7" s="467"/>
      <c r="F7" s="467" t="s">
        <v>3</v>
      </c>
      <c r="G7" s="467" t="s">
        <v>3</v>
      </c>
      <c r="H7" s="467" t="s">
        <v>349</v>
      </c>
      <c r="I7" s="467"/>
      <c r="J7" s="467" t="s">
        <v>750</v>
      </c>
      <c r="K7" s="467" t="s">
        <v>749</v>
      </c>
      <c r="L7" s="467" t="s">
        <v>222</v>
      </c>
      <c r="M7" s="467" t="s">
        <v>3</v>
      </c>
      <c r="N7" s="467" t="s">
        <v>3</v>
      </c>
      <c r="O7" s="467" t="s">
        <v>750</v>
      </c>
      <c r="P7" s="467" t="s">
        <v>222</v>
      </c>
      <c r="Q7" s="467" t="s">
        <v>3</v>
      </c>
      <c r="R7" s="467" t="s">
        <v>3</v>
      </c>
      <c r="S7" s="464"/>
    </row>
    <row r="8" spans="1:28" s="470" customFormat="1" ht="12.75" x14ac:dyDescent="0.2">
      <c r="A8" s="464"/>
      <c r="B8" s="467" t="s">
        <v>223</v>
      </c>
      <c r="C8" s="467" t="s">
        <v>77</v>
      </c>
      <c r="D8" s="467" t="s">
        <v>125</v>
      </c>
      <c r="E8" s="467"/>
      <c r="F8" s="467" t="s">
        <v>77</v>
      </c>
      <c r="G8" s="467" t="s">
        <v>125</v>
      </c>
      <c r="H8" s="467" t="s">
        <v>711</v>
      </c>
      <c r="I8" s="467"/>
      <c r="J8" s="467" t="s">
        <v>21</v>
      </c>
      <c r="K8" s="467" t="s">
        <v>71</v>
      </c>
      <c r="L8" s="467" t="s">
        <v>223</v>
      </c>
      <c r="M8" s="467" t="s">
        <v>77</v>
      </c>
      <c r="N8" s="467" t="s">
        <v>125</v>
      </c>
      <c r="O8" s="467" t="s">
        <v>21</v>
      </c>
      <c r="P8" s="467" t="s">
        <v>223</v>
      </c>
      <c r="Q8" s="467" t="s">
        <v>77</v>
      </c>
      <c r="R8" s="467" t="s">
        <v>125</v>
      </c>
      <c r="S8" s="464"/>
    </row>
    <row r="9" spans="1:28" ht="12.75" x14ac:dyDescent="0.2">
      <c r="A9" s="302">
        <v>0</v>
      </c>
      <c r="B9" s="466">
        <v>0</v>
      </c>
      <c r="C9" s="466">
        <v>0</v>
      </c>
      <c r="D9" s="466">
        <v>0</v>
      </c>
      <c r="E9" s="463"/>
      <c r="F9" s="466">
        <v>0</v>
      </c>
      <c r="G9" s="466">
        <v>0</v>
      </c>
      <c r="H9" s="463"/>
      <c r="I9" s="463"/>
      <c r="J9" s="463"/>
      <c r="K9" s="463"/>
      <c r="L9" s="466">
        <v>0</v>
      </c>
      <c r="M9" s="466">
        <v>0</v>
      </c>
      <c r="N9" s="466">
        <v>0</v>
      </c>
      <c r="O9" s="463"/>
      <c r="P9" s="466">
        <v>0</v>
      </c>
      <c r="Q9" s="466">
        <v>0</v>
      </c>
      <c r="R9" s="466">
        <v>0</v>
      </c>
      <c r="S9" s="464"/>
    </row>
    <row r="10" spans="1:28" ht="12.75" x14ac:dyDescent="0.2">
      <c r="A10" s="302">
        <v>1</v>
      </c>
      <c r="B10" s="516">
        <v>207400</v>
      </c>
      <c r="C10" s="516">
        <v>207400</v>
      </c>
      <c r="D10" s="466">
        <f t="shared" ref="D10:D41" si="0">ROUND(C10/12,2)</f>
        <v>17283.330000000002</v>
      </c>
      <c r="E10" s="463"/>
      <c r="F10" s="469">
        <f t="shared" ref="F10:F19" si="1">+H10*$H$4</f>
        <v>269233.089996</v>
      </c>
      <c r="G10" s="466">
        <f>ROUND(F10/12,2)</f>
        <v>22436.09</v>
      </c>
      <c r="H10" s="463">
        <v>200226</v>
      </c>
      <c r="I10" s="463"/>
      <c r="J10" s="507">
        <v>219000</v>
      </c>
      <c r="K10" s="507">
        <v>11437</v>
      </c>
      <c r="L10" s="465">
        <f>+M10</f>
        <v>271770.94556399999</v>
      </c>
      <c r="M10" s="507">
        <f>+(J10+K10)*$J$4</f>
        <v>271770.94556399999</v>
      </c>
      <c r="N10" s="466">
        <f>ROUND(M10/12,2)</f>
        <v>22647.58</v>
      </c>
      <c r="O10" s="509">
        <v>307581</v>
      </c>
      <c r="P10" s="537">
        <f>+O10*J$4</f>
        <v>362752.41913200001</v>
      </c>
      <c r="Q10" s="537">
        <f>+O10*J$4</f>
        <v>362752.41913200001</v>
      </c>
      <c r="R10" s="466">
        <f t="shared" ref="R10:R25" si="2">ROUND(Q10/12,2)</f>
        <v>30229.37</v>
      </c>
      <c r="S10" s="464"/>
      <c r="T10" s="537"/>
      <c r="U10" s="301" t="s">
        <v>752</v>
      </c>
      <c r="AB10" s="516"/>
    </row>
    <row r="11" spans="1:28" ht="12.75" x14ac:dyDescent="0.2">
      <c r="A11" s="302">
        <v>2</v>
      </c>
      <c r="B11" s="517">
        <v>210670</v>
      </c>
      <c r="C11" s="517">
        <v>210670</v>
      </c>
      <c r="D11" s="466">
        <f t="shared" si="0"/>
        <v>17555.830000000002</v>
      </c>
      <c r="E11" s="463"/>
      <c r="F11" s="469">
        <f>+H11*$H$4</f>
        <v>275507.208232</v>
      </c>
      <c r="G11" s="466">
        <f t="shared" ref="G11:G19" si="3">ROUND(F11/12,2)</f>
        <v>22958.93</v>
      </c>
      <c r="H11" s="463">
        <v>204892</v>
      </c>
      <c r="I11" s="469"/>
      <c r="J11" s="507">
        <v>223500</v>
      </c>
      <c r="K11" s="507">
        <v>12027</v>
      </c>
      <c r="L11" s="465">
        <f t="shared" ref="L11:L19" si="4">+M11</f>
        <v>277773.94904400001</v>
      </c>
      <c r="M11" s="507">
        <f t="shared" ref="M11:M19" si="5">+(J11+K11)*$J$4</f>
        <v>277773.94904400001</v>
      </c>
      <c r="N11" s="466">
        <f t="shared" ref="N11:N65" si="6">ROUND(M11/12,2)</f>
        <v>23147.83</v>
      </c>
      <c r="O11" s="509">
        <v>312041</v>
      </c>
      <c r="P11" s="537">
        <f>+O11*J$4</f>
        <v>368012.418252</v>
      </c>
      <c r="Q11" s="537">
        <f t="shared" ref="Q11:Q25" si="7">+O11*J$4</f>
        <v>368012.418252</v>
      </c>
      <c r="R11" s="466">
        <f t="shared" si="2"/>
        <v>30667.7</v>
      </c>
      <c r="S11" s="464"/>
      <c r="T11" s="537"/>
      <c r="AB11" s="517"/>
    </row>
    <row r="12" spans="1:28" ht="12.75" x14ac:dyDescent="0.2">
      <c r="A12" s="302">
        <v>3</v>
      </c>
      <c r="B12" s="517">
        <v>214030</v>
      </c>
      <c r="C12" s="517">
        <v>214030</v>
      </c>
      <c r="D12" s="466">
        <f t="shared" si="0"/>
        <v>17835.830000000002</v>
      </c>
      <c r="E12" s="463"/>
      <c r="F12" s="469">
        <f t="shared" si="1"/>
        <v>316240.56951</v>
      </c>
      <c r="G12" s="466">
        <f t="shared" si="3"/>
        <v>26353.38</v>
      </c>
      <c r="H12" s="463">
        <v>235185</v>
      </c>
      <c r="I12" s="469"/>
      <c r="J12" s="507">
        <v>234600</v>
      </c>
      <c r="K12" s="507">
        <v>12649</v>
      </c>
      <c r="L12" s="465">
        <f t="shared" si="4"/>
        <v>291598.54762800003</v>
      </c>
      <c r="M12" s="507">
        <f t="shared" si="5"/>
        <v>291598.54762800003</v>
      </c>
      <c r="N12" s="466">
        <f t="shared" si="6"/>
        <v>24299.88</v>
      </c>
      <c r="O12" s="509">
        <v>316858</v>
      </c>
      <c r="P12" s="537">
        <f t="shared" ref="P12:P25" si="8">+O12*J$4</f>
        <v>373693.45317600004</v>
      </c>
      <c r="Q12" s="537">
        <f t="shared" si="7"/>
        <v>373693.45317600004</v>
      </c>
      <c r="R12" s="466">
        <f t="shared" si="2"/>
        <v>31141.119999999999</v>
      </c>
      <c r="S12" s="464"/>
      <c r="T12" s="537"/>
      <c r="U12" s="301" t="s">
        <v>753</v>
      </c>
      <c r="AB12" s="517"/>
    </row>
    <row r="13" spans="1:28" ht="12.75" x14ac:dyDescent="0.2">
      <c r="A13" s="302">
        <v>4</v>
      </c>
      <c r="B13" s="517">
        <v>217482</v>
      </c>
      <c r="C13" s="517">
        <v>217482</v>
      </c>
      <c r="D13" s="466">
        <f t="shared" si="0"/>
        <v>18123.5</v>
      </c>
      <c r="E13" s="463"/>
      <c r="F13" s="469">
        <f t="shared" si="1"/>
        <v>316240.56951</v>
      </c>
      <c r="G13" s="466">
        <f t="shared" si="3"/>
        <v>26353.38</v>
      </c>
      <c r="H13" s="463">
        <v>235185</v>
      </c>
      <c r="I13" s="469"/>
      <c r="J13" s="507">
        <v>243700</v>
      </c>
      <c r="K13" s="507">
        <v>12302</v>
      </c>
      <c r="L13" s="465">
        <f t="shared" si="4"/>
        <v>301921.59074400004</v>
      </c>
      <c r="M13" s="507">
        <f t="shared" si="5"/>
        <v>301921.59074400004</v>
      </c>
      <c r="N13" s="466">
        <f t="shared" si="6"/>
        <v>25160.13</v>
      </c>
      <c r="O13" s="509">
        <v>321558</v>
      </c>
      <c r="P13" s="537">
        <f t="shared" si="8"/>
        <v>379236.50157600001</v>
      </c>
      <c r="Q13" s="537">
        <f t="shared" si="7"/>
        <v>379236.50157600001</v>
      </c>
      <c r="R13" s="466">
        <f t="shared" si="2"/>
        <v>31603.040000000001</v>
      </c>
      <c r="S13" s="464"/>
      <c r="T13" s="537"/>
      <c r="AB13" s="517"/>
    </row>
    <row r="14" spans="1:28" ht="12.75" x14ac:dyDescent="0.2">
      <c r="A14" s="302">
        <v>5</v>
      </c>
      <c r="B14" s="518">
        <v>221027</v>
      </c>
      <c r="C14" s="518">
        <v>221027</v>
      </c>
      <c r="D14" s="466">
        <f t="shared" si="0"/>
        <v>18418.919999999998</v>
      </c>
      <c r="E14" s="463"/>
      <c r="F14" s="469">
        <f t="shared" si="1"/>
        <v>336810.964018</v>
      </c>
      <c r="G14" s="466">
        <f t="shared" si="3"/>
        <v>28067.58</v>
      </c>
      <c r="H14" s="463">
        <v>250483</v>
      </c>
      <c r="I14" s="469"/>
      <c r="J14" s="507">
        <v>251500</v>
      </c>
      <c r="K14" s="507">
        <v>10752</v>
      </c>
      <c r="L14" s="465">
        <f t="shared" si="4"/>
        <v>309292.665744</v>
      </c>
      <c r="M14" s="507">
        <f t="shared" si="5"/>
        <v>309292.665744</v>
      </c>
      <c r="N14" s="466">
        <f t="shared" si="6"/>
        <v>25774.39</v>
      </c>
      <c r="O14" s="509">
        <v>326331</v>
      </c>
      <c r="P14" s="537">
        <f t="shared" si="8"/>
        <v>384865.64413200004</v>
      </c>
      <c r="Q14" s="537">
        <f t="shared" si="7"/>
        <v>384865.64413200004</v>
      </c>
      <c r="R14" s="466">
        <f t="shared" si="2"/>
        <v>32072.14</v>
      </c>
      <c r="S14" s="464"/>
      <c r="T14" s="537"/>
      <c r="U14" s="301" t="s">
        <v>765</v>
      </c>
      <c r="AB14" s="518"/>
    </row>
    <row r="15" spans="1:28" ht="12.75" x14ac:dyDescent="0.2">
      <c r="A15" s="302">
        <v>6</v>
      </c>
      <c r="B15" s="517">
        <v>224674</v>
      </c>
      <c r="C15" s="517">
        <v>224674</v>
      </c>
      <c r="D15" s="466">
        <f t="shared" si="0"/>
        <v>18722.830000000002</v>
      </c>
      <c r="E15" s="463"/>
      <c r="F15" s="469">
        <f t="shared" si="1"/>
        <v>353828.80379400001</v>
      </c>
      <c r="G15" s="466">
        <f t="shared" si="3"/>
        <v>29485.73</v>
      </c>
      <c r="H15" s="463">
        <v>263139</v>
      </c>
      <c r="I15" s="469"/>
      <c r="J15" s="507">
        <v>279400</v>
      </c>
      <c r="K15" s="507">
        <v>8148</v>
      </c>
      <c r="L15" s="465">
        <f t="shared" si="4"/>
        <v>339126.05985600001</v>
      </c>
      <c r="M15" s="507">
        <f t="shared" si="5"/>
        <v>339126.05985600001</v>
      </c>
      <c r="N15" s="466">
        <f t="shared" si="6"/>
        <v>28260.5</v>
      </c>
      <c r="O15" s="509">
        <v>331178</v>
      </c>
      <c r="P15" s="537">
        <f t="shared" si="8"/>
        <v>390582.06021600001</v>
      </c>
      <c r="Q15" s="537">
        <f t="shared" si="7"/>
        <v>390582.06021600001</v>
      </c>
      <c r="R15" s="466">
        <f t="shared" si="2"/>
        <v>32548.51</v>
      </c>
      <c r="S15" s="464"/>
      <c r="T15" s="538"/>
      <c r="AB15" s="517"/>
    </row>
    <row r="16" spans="1:28" ht="12.75" x14ac:dyDescent="0.2">
      <c r="A16" s="302">
        <v>7</v>
      </c>
      <c r="B16" s="517">
        <v>228416</v>
      </c>
      <c r="C16" s="517">
        <v>228416</v>
      </c>
      <c r="D16" s="466">
        <f t="shared" si="0"/>
        <v>19034.669999999998</v>
      </c>
      <c r="E16" s="463"/>
      <c r="F16" s="469">
        <f t="shared" si="1"/>
        <v>362052.65873000002</v>
      </c>
      <c r="G16" s="466">
        <f t="shared" si="3"/>
        <v>30171.05</v>
      </c>
      <c r="H16" s="463">
        <v>269255</v>
      </c>
      <c r="I16" s="469"/>
      <c r="J16" s="507">
        <v>290500</v>
      </c>
      <c r="K16" s="507">
        <v>6864</v>
      </c>
      <c r="L16" s="465">
        <f t="shared" si="4"/>
        <v>350702.77540800004</v>
      </c>
      <c r="M16" s="507">
        <f t="shared" si="5"/>
        <v>350702.77540800004</v>
      </c>
      <c r="N16" s="466">
        <f t="shared" si="6"/>
        <v>29225.23</v>
      </c>
      <c r="O16" s="509">
        <v>336099</v>
      </c>
      <c r="P16" s="537">
        <f t="shared" si="8"/>
        <v>396385.74982800003</v>
      </c>
      <c r="Q16" s="537">
        <f t="shared" si="7"/>
        <v>396385.74982800003</v>
      </c>
      <c r="R16" s="466">
        <f t="shared" si="2"/>
        <v>33032.15</v>
      </c>
      <c r="S16" s="464"/>
      <c r="T16" s="539"/>
      <c r="AB16" s="517"/>
    </row>
    <row r="17" spans="1:28" ht="12.75" x14ac:dyDescent="0.2">
      <c r="A17" s="302">
        <v>8</v>
      </c>
      <c r="B17" s="517">
        <v>232404</v>
      </c>
      <c r="C17" s="517">
        <v>232404</v>
      </c>
      <c r="D17" s="466">
        <f t="shared" si="0"/>
        <v>19367</v>
      </c>
      <c r="E17" s="463"/>
      <c r="F17" s="469">
        <f t="shared" si="1"/>
        <v>386534.62845199998</v>
      </c>
      <c r="G17" s="466">
        <f t="shared" si="3"/>
        <v>32211.22</v>
      </c>
      <c r="H17" s="463">
        <v>287462</v>
      </c>
      <c r="I17" s="469"/>
      <c r="J17" s="507">
        <v>301100</v>
      </c>
      <c r="K17" s="507">
        <v>5420</v>
      </c>
      <c r="L17" s="465">
        <f t="shared" si="4"/>
        <v>361501.10544000001</v>
      </c>
      <c r="M17" s="507">
        <f t="shared" si="5"/>
        <v>361501.10544000001</v>
      </c>
      <c r="N17" s="466">
        <f t="shared" si="6"/>
        <v>30125.09</v>
      </c>
      <c r="O17" s="509">
        <v>343569</v>
      </c>
      <c r="P17" s="537">
        <f t="shared" si="8"/>
        <v>405195.65866800002</v>
      </c>
      <c r="Q17" s="537">
        <f t="shared" si="7"/>
        <v>405195.65866800002</v>
      </c>
      <c r="R17" s="466">
        <f t="shared" si="2"/>
        <v>33766.300000000003</v>
      </c>
      <c r="S17" s="464"/>
      <c r="T17" s="539"/>
      <c r="AB17" s="517"/>
    </row>
    <row r="18" spans="1:28" ht="12.75" x14ac:dyDescent="0.2">
      <c r="A18" s="302">
        <v>9</v>
      </c>
      <c r="B18" s="517">
        <v>239642</v>
      </c>
      <c r="C18" s="517">
        <v>239642</v>
      </c>
      <c r="D18" s="466">
        <f t="shared" si="0"/>
        <v>19970.169999999998</v>
      </c>
      <c r="E18" s="463"/>
      <c r="F18" s="469">
        <f t="shared" si="1"/>
        <v>485282.7414</v>
      </c>
      <c r="G18" s="466">
        <f t="shared" si="3"/>
        <v>40440.230000000003</v>
      </c>
      <c r="H18" s="468">
        <v>360900</v>
      </c>
      <c r="I18" s="469"/>
      <c r="J18" s="507">
        <v>311700</v>
      </c>
      <c r="K18" s="508">
        <v>3881</v>
      </c>
      <c r="L18" s="465">
        <f t="shared" si="4"/>
        <v>372187.39513200003</v>
      </c>
      <c r="M18" s="507">
        <f t="shared" si="5"/>
        <v>372187.39513200003</v>
      </c>
      <c r="N18" s="466">
        <f t="shared" si="6"/>
        <v>31015.62</v>
      </c>
      <c r="O18" s="509">
        <v>351244</v>
      </c>
      <c r="P18" s="537">
        <f t="shared" si="8"/>
        <v>414247.33876800002</v>
      </c>
      <c r="Q18" s="537">
        <f t="shared" si="7"/>
        <v>414247.33876800002</v>
      </c>
      <c r="R18" s="466">
        <f t="shared" si="2"/>
        <v>34520.61</v>
      </c>
      <c r="S18" s="464"/>
      <c r="T18" s="539"/>
      <c r="AB18" s="517"/>
    </row>
    <row r="19" spans="1:28" ht="12.75" x14ac:dyDescent="0.2">
      <c r="A19" s="302">
        <v>10</v>
      </c>
      <c r="B19" s="518">
        <v>241540</v>
      </c>
      <c r="C19" s="518">
        <v>241540</v>
      </c>
      <c r="D19" s="466">
        <f t="shared" si="0"/>
        <v>20128.330000000002</v>
      </c>
      <c r="E19" s="463"/>
      <c r="F19" s="469">
        <f t="shared" si="1"/>
        <v>521588.18339999998</v>
      </c>
      <c r="G19" s="466">
        <f t="shared" si="3"/>
        <v>43465.68</v>
      </c>
      <c r="H19" s="468">
        <v>387900</v>
      </c>
      <c r="I19" s="463" t="s">
        <v>766</v>
      </c>
      <c r="J19" s="507">
        <v>359131</v>
      </c>
      <c r="K19" s="463">
        <v>0</v>
      </c>
      <c r="L19" s="465">
        <f t="shared" si="4"/>
        <v>423549.04573200003</v>
      </c>
      <c r="M19" s="507">
        <f t="shared" si="5"/>
        <v>423549.04573200003</v>
      </c>
      <c r="N19" s="466">
        <f t="shared" si="6"/>
        <v>35295.75</v>
      </c>
      <c r="O19" s="509">
        <v>359131</v>
      </c>
      <c r="P19" s="537">
        <f t="shared" si="8"/>
        <v>423549.04573200003</v>
      </c>
      <c r="Q19" s="537">
        <f t="shared" si="7"/>
        <v>423549.04573200003</v>
      </c>
      <c r="R19" s="466">
        <f t="shared" si="2"/>
        <v>35295.75</v>
      </c>
      <c r="S19" s="464"/>
      <c r="T19" s="539"/>
      <c r="AB19" s="518"/>
    </row>
    <row r="20" spans="1:28" ht="12.75" x14ac:dyDescent="0.2">
      <c r="A20" s="302">
        <v>11</v>
      </c>
      <c r="B20" s="517">
        <v>244819</v>
      </c>
      <c r="C20" s="517">
        <v>244819</v>
      </c>
      <c r="D20" s="466">
        <f t="shared" si="0"/>
        <v>20401.580000000002</v>
      </c>
      <c r="E20" s="463"/>
      <c r="F20" s="466">
        <v>0</v>
      </c>
      <c r="G20" s="466">
        <v>0</v>
      </c>
      <c r="H20" s="468"/>
      <c r="I20" s="463"/>
      <c r="J20" s="500"/>
      <c r="K20" s="463"/>
      <c r="L20" s="466">
        <v>0</v>
      </c>
      <c r="M20" s="466">
        <v>0</v>
      </c>
      <c r="N20" s="466">
        <f t="shared" si="6"/>
        <v>0</v>
      </c>
      <c r="O20" s="509">
        <v>367234</v>
      </c>
      <c r="P20" s="537">
        <f t="shared" si="8"/>
        <v>433105.49704800005</v>
      </c>
      <c r="Q20" s="537">
        <f t="shared" si="7"/>
        <v>433105.49704800005</v>
      </c>
      <c r="R20" s="466">
        <f t="shared" si="2"/>
        <v>36092.120000000003</v>
      </c>
      <c r="S20" s="464"/>
      <c r="T20" s="540"/>
      <c r="AB20" s="517"/>
    </row>
    <row r="21" spans="1:28" ht="12.75" x14ac:dyDescent="0.2">
      <c r="A21" s="302">
        <v>12</v>
      </c>
      <c r="B21" s="517">
        <v>249108</v>
      </c>
      <c r="C21" s="517">
        <v>249108</v>
      </c>
      <c r="D21" s="466">
        <f t="shared" si="0"/>
        <v>20759</v>
      </c>
      <c r="E21" s="463"/>
      <c r="F21" s="466">
        <v>0</v>
      </c>
      <c r="G21" s="466">
        <v>0</v>
      </c>
      <c r="H21" s="468"/>
      <c r="I21" s="463"/>
      <c r="J21" s="500"/>
      <c r="K21" s="463"/>
      <c r="L21" s="466">
        <v>0</v>
      </c>
      <c r="M21" s="466">
        <v>0</v>
      </c>
      <c r="N21" s="466">
        <f t="shared" si="6"/>
        <v>0</v>
      </c>
      <c r="O21" s="509">
        <v>384115</v>
      </c>
      <c r="P21" s="537">
        <f t="shared" si="8"/>
        <v>453014.47578000004</v>
      </c>
      <c r="Q21" s="537">
        <f t="shared" si="7"/>
        <v>453014.47578000004</v>
      </c>
      <c r="R21" s="466">
        <f t="shared" si="2"/>
        <v>37751.21</v>
      </c>
      <c r="S21" s="464"/>
      <c r="T21" s="539"/>
      <c r="AB21" s="517"/>
    </row>
    <row r="22" spans="1:28" ht="12.75" x14ac:dyDescent="0.2">
      <c r="A22" s="302">
        <v>13</v>
      </c>
      <c r="B22" s="517">
        <v>253521</v>
      </c>
      <c r="C22" s="517">
        <v>253521</v>
      </c>
      <c r="D22" s="466">
        <f t="shared" si="0"/>
        <v>21126.75</v>
      </c>
      <c r="E22" s="463"/>
      <c r="F22" s="466">
        <v>0</v>
      </c>
      <c r="G22" s="466">
        <v>0</v>
      </c>
      <c r="H22" s="468"/>
      <c r="I22" s="463"/>
      <c r="J22" s="500"/>
      <c r="K22" s="463"/>
      <c r="L22" s="466">
        <v>0</v>
      </c>
      <c r="M22" s="466">
        <v>0</v>
      </c>
      <c r="N22" s="466">
        <f t="shared" si="6"/>
        <v>0</v>
      </c>
      <c r="O22" s="509">
        <v>409894</v>
      </c>
      <c r="P22" s="537">
        <f t="shared" si="8"/>
        <v>483417.50656800001</v>
      </c>
      <c r="Q22" s="537">
        <f t="shared" si="7"/>
        <v>483417.50656800001</v>
      </c>
      <c r="R22" s="466">
        <f t="shared" si="2"/>
        <v>40284.79</v>
      </c>
      <c r="S22" s="464"/>
      <c r="T22" s="539"/>
      <c r="AB22" s="517"/>
    </row>
    <row r="23" spans="1:28" ht="12.75" x14ac:dyDescent="0.2">
      <c r="A23" s="302">
        <v>14</v>
      </c>
      <c r="B23" s="517">
        <v>258053</v>
      </c>
      <c r="C23" s="517">
        <v>258053</v>
      </c>
      <c r="D23" s="466">
        <f t="shared" si="0"/>
        <v>21504.42</v>
      </c>
      <c r="E23" s="463"/>
      <c r="F23" s="466">
        <v>0</v>
      </c>
      <c r="G23" s="466">
        <v>0</v>
      </c>
      <c r="H23" s="468"/>
      <c r="I23" s="463"/>
      <c r="J23" s="500"/>
      <c r="K23" s="463"/>
      <c r="L23" s="466">
        <v>0</v>
      </c>
      <c r="M23" s="466">
        <v>0</v>
      </c>
      <c r="N23" s="466">
        <f t="shared" si="6"/>
        <v>0</v>
      </c>
      <c r="O23" s="509">
        <v>438508</v>
      </c>
      <c r="P23" s="537">
        <f t="shared" si="8"/>
        <v>517164.05697600002</v>
      </c>
      <c r="Q23" s="537">
        <f t="shared" si="7"/>
        <v>517164.05697600002</v>
      </c>
      <c r="R23" s="466">
        <f t="shared" si="2"/>
        <v>43097</v>
      </c>
      <c r="S23" s="464"/>
      <c r="T23" s="539"/>
      <c r="AB23" s="517"/>
    </row>
    <row r="24" spans="1:28" ht="12.75" x14ac:dyDescent="0.2">
      <c r="A24" s="302">
        <v>15</v>
      </c>
      <c r="B24" s="518">
        <v>262542</v>
      </c>
      <c r="C24" s="518">
        <v>262542</v>
      </c>
      <c r="D24" s="466">
        <f t="shared" si="0"/>
        <v>21878.5</v>
      </c>
      <c r="E24" s="463"/>
      <c r="F24" s="466">
        <v>0</v>
      </c>
      <c r="G24" s="466">
        <v>0</v>
      </c>
      <c r="H24" s="468"/>
      <c r="I24" s="463"/>
      <c r="J24" s="500"/>
      <c r="K24" s="463"/>
      <c r="L24" s="466">
        <v>0</v>
      </c>
      <c r="M24" s="466">
        <v>0</v>
      </c>
      <c r="N24" s="466">
        <f t="shared" si="6"/>
        <v>0</v>
      </c>
      <c r="O24" s="509">
        <v>484363</v>
      </c>
      <c r="P24" s="537">
        <f t="shared" si="8"/>
        <v>571244.16003600007</v>
      </c>
      <c r="Q24" s="537">
        <f t="shared" si="7"/>
        <v>571244.16003600007</v>
      </c>
      <c r="R24" s="466">
        <f t="shared" si="2"/>
        <v>47603.68</v>
      </c>
      <c r="S24" s="464"/>
      <c r="T24" s="539"/>
      <c r="AB24" s="518"/>
    </row>
    <row r="25" spans="1:28" ht="12.75" x14ac:dyDescent="0.2">
      <c r="A25" s="302">
        <v>16</v>
      </c>
      <c r="B25" s="516">
        <v>267139</v>
      </c>
      <c r="C25" s="516">
        <v>267139</v>
      </c>
      <c r="D25" s="466">
        <f t="shared" si="0"/>
        <v>22261.58</v>
      </c>
      <c r="E25" s="463"/>
      <c r="F25" s="466">
        <v>0</v>
      </c>
      <c r="G25" s="466">
        <v>0</v>
      </c>
      <c r="H25" s="468"/>
      <c r="I25" s="463"/>
      <c r="J25" s="500"/>
      <c r="K25" s="463"/>
      <c r="L25" s="466">
        <v>0</v>
      </c>
      <c r="M25" s="466">
        <v>0</v>
      </c>
      <c r="N25" s="466">
        <f t="shared" si="6"/>
        <v>0</v>
      </c>
      <c r="O25" s="509">
        <v>551144</v>
      </c>
      <c r="P25" s="537">
        <f t="shared" si="8"/>
        <v>650003.801568</v>
      </c>
      <c r="Q25" s="537">
        <f t="shared" si="7"/>
        <v>650003.801568</v>
      </c>
      <c r="R25" s="466">
        <f t="shared" si="2"/>
        <v>54166.98</v>
      </c>
      <c r="S25" s="464"/>
      <c r="T25" s="540"/>
      <c r="AB25" s="516"/>
    </row>
    <row r="26" spans="1:28" ht="12.75" x14ac:dyDescent="0.2">
      <c r="A26" s="302">
        <v>17</v>
      </c>
      <c r="B26" s="517">
        <v>271089</v>
      </c>
      <c r="C26" s="517">
        <v>271089</v>
      </c>
      <c r="D26" s="466">
        <f t="shared" si="0"/>
        <v>22590.75</v>
      </c>
      <c r="E26" s="463"/>
      <c r="F26" s="466">
        <v>0</v>
      </c>
      <c r="G26" s="466">
        <v>0</v>
      </c>
      <c r="H26" s="468"/>
      <c r="I26" s="468"/>
      <c r="J26" s="501"/>
      <c r="K26" s="463"/>
      <c r="L26" s="466">
        <v>0</v>
      </c>
      <c r="M26" s="466">
        <v>0</v>
      </c>
      <c r="N26" s="466">
        <f t="shared" si="6"/>
        <v>0</v>
      </c>
      <c r="O26" s="463"/>
      <c r="P26" s="466">
        <v>0</v>
      </c>
      <c r="Q26" s="466">
        <v>0</v>
      </c>
      <c r="R26" s="466">
        <f t="shared" ref="R26:R65" si="9">ROUND(Q26/12,2)</f>
        <v>0</v>
      </c>
      <c r="S26" s="464"/>
      <c r="AB26" s="517"/>
    </row>
    <row r="27" spans="1:28" ht="12.75" x14ac:dyDescent="0.2">
      <c r="A27" s="302">
        <v>18</v>
      </c>
      <c r="B27" s="517">
        <v>276166</v>
      </c>
      <c r="C27" s="517">
        <v>276166</v>
      </c>
      <c r="D27" s="466">
        <f t="shared" si="0"/>
        <v>23013.83</v>
      </c>
      <c r="E27" s="463"/>
      <c r="F27" s="466">
        <v>0</v>
      </c>
      <c r="G27" s="466">
        <v>0</v>
      </c>
      <c r="H27" s="468"/>
      <c r="I27" s="468"/>
      <c r="J27" s="501"/>
      <c r="K27" s="463"/>
      <c r="L27" s="466">
        <v>0</v>
      </c>
      <c r="M27" s="466">
        <v>0</v>
      </c>
      <c r="N27" s="466">
        <f t="shared" si="6"/>
        <v>0</v>
      </c>
      <c r="O27" s="463"/>
      <c r="P27" s="466">
        <v>0</v>
      </c>
      <c r="Q27" s="466">
        <v>0</v>
      </c>
      <c r="R27" s="466">
        <f t="shared" si="9"/>
        <v>0</v>
      </c>
      <c r="AB27" s="517"/>
    </row>
    <row r="28" spans="1:28" ht="12.75" x14ac:dyDescent="0.2">
      <c r="A28" s="302">
        <v>19</v>
      </c>
      <c r="B28" s="517">
        <v>280069</v>
      </c>
      <c r="C28" s="517">
        <v>280069</v>
      </c>
      <c r="D28" s="466">
        <f t="shared" si="0"/>
        <v>23339.08</v>
      </c>
      <c r="E28" s="463"/>
      <c r="F28" s="466">
        <v>0</v>
      </c>
      <c r="G28" s="466">
        <v>0</v>
      </c>
      <c r="H28" s="468"/>
      <c r="I28" s="468"/>
      <c r="J28" s="501"/>
      <c r="K28" s="463"/>
      <c r="L28" s="466">
        <v>0</v>
      </c>
      <c r="M28" s="466">
        <v>0</v>
      </c>
      <c r="N28" s="466">
        <f t="shared" si="6"/>
        <v>0</v>
      </c>
      <c r="O28" s="463"/>
      <c r="P28" s="466">
        <v>0</v>
      </c>
      <c r="Q28" s="466">
        <v>0</v>
      </c>
      <c r="R28" s="466">
        <f t="shared" si="9"/>
        <v>0</v>
      </c>
      <c r="T28" s="510"/>
      <c r="AB28" s="517"/>
    </row>
    <row r="29" spans="1:28" ht="13.5" customHeight="1" x14ac:dyDescent="0.2">
      <c r="A29" s="302">
        <v>20</v>
      </c>
      <c r="B29" s="518">
        <v>284112</v>
      </c>
      <c r="C29" s="518">
        <v>284112</v>
      </c>
      <c r="D29" s="466">
        <f t="shared" si="0"/>
        <v>23676</v>
      </c>
      <c r="E29" s="463"/>
      <c r="F29" s="466">
        <v>0</v>
      </c>
      <c r="G29" s="466">
        <v>0</v>
      </c>
      <c r="H29" s="468"/>
      <c r="I29" s="468"/>
      <c r="J29" s="501"/>
      <c r="K29" s="463"/>
      <c r="L29" s="466">
        <v>0</v>
      </c>
      <c r="M29" s="466">
        <v>0</v>
      </c>
      <c r="N29" s="466">
        <f t="shared" si="6"/>
        <v>0</v>
      </c>
      <c r="O29" s="463"/>
      <c r="P29" s="466">
        <v>0</v>
      </c>
      <c r="Q29" s="466">
        <v>0</v>
      </c>
      <c r="R29" s="466">
        <f t="shared" si="9"/>
        <v>0</v>
      </c>
      <c r="T29" s="511"/>
      <c r="AB29" s="518"/>
    </row>
    <row r="30" spans="1:28" ht="12.75" x14ac:dyDescent="0.2">
      <c r="A30" s="302">
        <v>21</v>
      </c>
      <c r="B30" s="517">
        <v>288962</v>
      </c>
      <c r="C30" s="517">
        <v>288962</v>
      </c>
      <c r="D30" s="466">
        <f t="shared" si="0"/>
        <v>24080.17</v>
      </c>
      <c r="E30" s="463"/>
      <c r="F30" s="466">
        <v>0</v>
      </c>
      <c r="G30" s="466">
        <v>0</v>
      </c>
      <c r="H30" s="468"/>
      <c r="I30" s="468"/>
      <c r="J30" s="501"/>
      <c r="K30" s="463"/>
      <c r="L30" s="466">
        <v>0</v>
      </c>
      <c r="M30" s="466">
        <v>0</v>
      </c>
      <c r="N30" s="466">
        <f t="shared" si="6"/>
        <v>0</v>
      </c>
      <c r="O30" s="463"/>
      <c r="P30" s="466">
        <v>0</v>
      </c>
      <c r="Q30" s="466">
        <v>0</v>
      </c>
      <c r="R30" s="466">
        <f t="shared" si="9"/>
        <v>0</v>
      </c>
      <c r="T30" s="510"/>
      <c r="AB30" s="517"/>
    </row>
    <row r="31" spans="1:28" ht="12.75" x14ac:dyDescent="0.2">
      <c r="A31" s="302">
        <v>22</v>
      </c>
      <c r="B31" s="517">
        <v>293098</v>
      </c>
      <c r="C31" s="517">
        <v>293098</v>
      </c>
      <c r="D31" s="466">
        <f t="shared" si="0"/>
        <v>24424.83</v>
      </c>
      <c r="E31" s="463"/>
      <c r="F31" s="466">
        <v>0</v>
      </c>
      <c r="G31" s="466">
        <v>0</v>
      </c>
      <c r="H31" s="468"/>
      <c r="I31" s="468"/>
      <c r="J31" s="501"/>
      <c r="K31" s="463"/>
      <c r="L31" s="466">
        <v>0</v>
      </c>
      <c r="M31" s="466">
        <v>0</v>
      </c>
      <c r="N31" s="466">
        <f t="shared" si="6"/>
        <v>0</v>
      </c>
      <c r="O31" s="463"/>
      <c r="P31" s="466">
        <v>0</v>
      </c>
      <c r="Q31" s="466">
        <v>0</v>
      </c>
      <c r="R31" s="466">
        <f t="shared" si="9"/>
        <v>0</v>
      </c>
      <c r="T31" s="510"/>
      <c r="AB31" s="517"/>
    </row>
    <row r="32" spans="1:28" ht="12.75" x14ac:dyDescent="0.2">
      <c r="A32" s="302">
        <v>23</v>
      </c>
      <c r="B32" s="517">
        <v>297095</v>
      </c>
      <c r="C32" s="517">
        <v>297095</v>
      </c>
      <c r="D32" s="466">
        <f t="shared" si="0"/>
        <v>24757.919999999998</v>
      </c>
      <c r="E32" s="463"/>
      <c r="F32" s="466">
        <v>0</v>
      </c>
      <c r="G32" s="466">
        <v>0</v>
      </c>
      <c r="H32" s="468"/>
      <c r="I32" s="468"/>
      <c r="J32" s="501"/>
      <c r="K32" s="463"/>
      <c r="L32" s="466">
        <v>0</v>
      </c>
      <c r="M32" s="466">
        <v>0</v>
      </c>
      <c r="N32" s="466">
        <f t="shared" si="6"/>
        <v>0</v>
      </c>
      <c r="O32" s="463"/>
      <c r="P32" s="466">
        <v>0</v>
      </c>
      <c r="Q32" s="466">
        <v>0</v>
      </c>
      <c r="R32" s="466">
        <f t="shared" si="9"/>
        <v>0</v>
      </c>
      <c r="T32" s="510"/>
      <c r="AB32" s="517"/>
    </row>
    <row r="33" spans="1:28" ht="12.75" x14ac:dyDescent="0.2">
      <c r="A33" s="302">
        <v>24</v>
      </c>
      <c r="B33" s="517">
        <v>301230</v>
      </c>
      <c r="C33" s="517">
        <v>301230</v>
      </c>
      <c r="D33" s="466">
        <f t="shared" si="0"/>
        <v>25102.5</v>
      </c>
      <c r="E33" s="463"/>
      <c r="F33" s="466">
        <v>0</v>
      </c>
      <c r="G33" s="466">
        <v>0</v>
      </c>
      <c r="H33" s="468"/>
      <c r="I33" s="468"/>
      <c r="J33" s="501"/>
      <c r="K33" s="463"/>
      <c r="L33" s="466">
        <v>0</v>
      </c>
      <c r="M33" s="466">
        <v>0</v>
      </c>
      <c r="N33" s="466">
        <f t="shared" si="6"/>
        <v>0</v>
      </c>
      <c r="O33" s="463"/>
      <c r="P33" s="466">
        <v>0</v>
      </c>
      <c r="Q33" s="466">
        <v>0</v>
      </c>
      <c r="R33" s="466">
        <f t="shared" si="9"/>
        <v>0</v>
      </c>
      <c r="T33" s="510"/>
      <c r="AB33" s="517"/>
    </row>
    <row r="34" spans="1:28" ht="12.75" x14ac:dyDescent="0.2">
      <c r="A34" s="302">
        <v>25</v>
      </c>
      <c r="B34" s="518">
        <v>305432</v>
      </c>
      <c r="C34" s="518">
        <v>305432</v>
      </c>
      <c r="D34" s="466">
        <f t="shared" si="0"/>
        <v>25452.67</v>
      </c>
      <c r="E34" s="463"/>
      <c r="F34" s="466">
        <v>0</v>
      </c>
      <c r="G34" s="466">
        <v>0</v>
      </c>
      <c r="H34" s="468"/>
      <c r="I34" s="468"/>
      <c r="J34" s="501"/>
      <c r="K34" s="463"/>
      <c r="L34" s="466">
        <v>0</v>
      </c>
      <c r="M34" s="466">
        <v>0</v>
      </c>
      <c r="N34" s="466">
        <f t="shared" si="6"/>
        <v>0</v>
      </c>
      <c r="O34" s="463"/>
      <c r="P34" s="466">
        <v>0</v>
      </c>
      <c r="Q34" s="466">
        <v>0</v>
      </c>
      <c r="R34" s="466">
        <f t="shared" si="9"/>
        <v>0</v>
      </c>
      <c r="T34" s="511"/>
      <c r="AB34" s="518"/>
    </row>
    <row r="35" spans="1:28" ht="12.75" x14ac:dyDescent="0.2">
      <c r="A35" s="302">
        <v>26</v>
      </c>
      <c r="B35" s="517">
        <v>309710</v>
      </c>
      <c r="C35" s="517">
        <v>309710</v>
      </c>
      <c r="D35" s="466">
        <f t="shared" si="0"/>
        <v>25809.17</v>
      </c>
      <c r="E35" s="463"/>
      <c r="F35" s="466">
        <v>0</v>
      </c>
      <c r="G35" s="466">
        <v>0</v>
      </c>
      <c r="H35" s="468"/>
      <c r="I35" s="468"/>
      <c r="J35" s="501"/>
      <c r="K35" s="463"/>
      <c r="L35" s="466">
        <v>0</v>
      </c>
      <c r="M35" s="466">
        <v>0</v>
      </c>
      <c r="N35" s="466">
        <f t="shared" si="6"/>
        <v>0</v>
      </c>
      <c r="O35" s="463"/>
      <c r="P35" s="466">
        <v>0</v>
      </c>
      <c r="Q35" s="466">
        <v>0</v>
      </c>
      <c r="R35" s="466">
        <f t="shared" si="9"/>
        <v>0</v>
      </c>
      <c r="T35" s="510"/>
      <c r="AB35" s="517"/>
    </row>
    <row r="36" spans="1:28" ht="12.75" x14ac:dyDescent="0.2">
      <c r="A36" s="302">
        <v>27</v>
      </c>
      <c r="B36" s="517">
        <v>314058</v>
      </c>
      <c r="C36" s="517">
        <v>314058</v>
      </c>
      <c r="D36" s="466">
        <f t="shared" si="0"/>
        <v>26171.5</v>
      </c>
      <c r="E36" s="463"/>
      <c r="F36" s="466">
        <v>0</v>
      </c>
      <c r="G36" s="466">
        <v>0</v>
      </c>
      <c r="H36" s="468"/>
      <c r="I36" s="468"/>
      <c r="J36" s="501"/>
      <c r="K36" s="463"/>
      <c r="L36" s="466">
        <v>0</v>
      </c>
      <c r="M36" s="466">
        <v>0</v>
      </c>
      <c r="N36" s="466">
        <f t="shared" si="6"/>
        <v>0</v>
      </c>
      <c r="O36" s="463"/>
      <c r="P36" s="466">
        <v>0</v>
      </c>
      <c r="Q36" s="466">
        <v>0</v>
      </c>
      <c r="R36" s="466">
        <f t="shared" si="9"/>
        <v>0</v>
      </c>
      <c r="T36" s="510"/>
      <c r="AB36" s="517"/>
    </row>
    <row r="37" spans="1:28" ht="12.75" x14ac:dyDescent="0.2">
      <c r="A37" s="302">
        <v>28</v>
      </c>
      <c r="B37" s="517">
        <v>318479</v>
      </c>
      <c r="C37" s="517">
        <v>318479</v>
      </c>
      <c r="D37" s="466">
        <f t="shared" si="0"/>
        <v>26539.919999999998</v>
      </c>
      <c r="E37" s="463"/>
      <c r="F37" s="466">
        <v>0</v>
      </c>
      <c r="G37" s="466">
        <v>0</v>
      </c>
      <c r="H37" s="468"/>
      <c r="I37" s="468"/>
      <c r="J37" s="501"/>
      <c r="K37" s="463"/>
      <c r="L37" s="466">
        <v>0</v>
      </c>
      <c r="M37" s="466">
        <v>0</v>
      </c>
      <c r="N37" s="466">
        <f t="shared" si="6"/>
        <v>0</v>
      </c>
      <c r="O37" s="463"/>
      <c r="P37" s="466">
        <v>0</v>
      </c>
      <c r="Q37" s="466">
        <v>0</v>
      </c>
      <c r="R37" s="466">
        <f t="shared" si="9"/>
        <v>0</v>
      </c>
      <c r="T37" s="510"/>
      <c r="AB37" s="517"/>
    </row>
    <row r="38" spans="1:28" ht="12.75" x14ac:dyDescent="0.2">
      <c r="A38" s="302">
        <v>29</v>
      </c>
      <c r="B38" s="517">
        <v>322977</v>
      </c>
      <c r="C38" s="517">
        <v>322977</v>
      </c>
      <c r="D38" s="466">
        <f t="shared" si="0"/>
        <v>26914.75</v>
      </c>
      <c r="E38" s="463"/>
      <c r="F38" s="466">
        <v>0</v>
      </c>
      <c r="G38" s="466">
        <v>0</v>
      </c>
      <c r="H38" s="468"/>
      <c r="I38" s="468"/>
      <c r="J38" s="501"/>
      <c r="K38" s="463"/>
      <c r="L38" s="466">
        <v>0</v>
      </c>
      <c r="M38" s="466">
        <v>0</v>
      </c>
      <c r="N38" s="466">
        <f t="shared" si="6"/>
        <v>0</v>
      </c>
      <c r="O38" s="463"/>
      <c r="P38" s="466">
        <v>0</v>
      </c>
      <c r="Q38" s="466">
        <v>0</v>
      </c>
      <c r="R38" s="466">
        <f t="shared" si="9"/>
        <v>0</v>
      </c>
      <c r="T38" s="510"/>
      <c r="AB38" s="517"/>
    </row>
    <row r="39" spans="1:28" ht="12.75" x14ac:dyDescent="0.2">
      <c r="A39" s="302">
        <v>30</v>
      </c>
      <c r="B39" s="518">
        <v>327543</v>
      </c>
      <c r="C39" s="518">
        <v>327543</v>
      </c>
      <c r="D39" s="466">
        <f t="shared" si="0"/>
        <v>27295.25</v>
      </c>
      <c r="E39" s="463"/>
      <c r="F39" s="466">
        <v>0</v>
      </c>
      <c r="G39" s="466">
        <v>0</v>
      </c>
      <c r="H39" s="468"/>
      <c r="I39" s="468"/>
      <c r="J39" s="501"/>
      <c r="K39" s="463"/>
      <c r="L39" s="466">
        <v>0</v>
      </c>
      <c r="M39" s="466">
        <v>0</v>
      </c>
      <c r="N39" s="466">
        <f t="shared" si="6"/>
        <v>0</v>
      </c>
      <c r="O39" s="463"/>
      <c r="P39" s="466">
        <v>0</v>
      </c>
      <c r="Q39" s="466">
        <v>0</v>
      </c>
      <c r="R39" s="466">
        <f t="shared" si="9"/>
        <v>0</v>
      </c>
      <c r="T39" s="511"/>
      <c r="AB39" s="518"/>
    </row>
    <row r="40" spans="1:28" ht="12.75" x14ac:dyDescent="0.2">
      <c r="A40" s="302">
        <v>31</v>
      </c>
      <c r="B40" s="516">
        <v>332191</v>
      </c>
      <c r="C40" s="516">
        <v>332191</v>
      </c>
      <c r="D40" s="466">
        <f t="shared" si="0"/>
        <v>27682.58</v>
      </c>
      <c r="E40" s="463"/>
      <c r="F40" s="466">
        <v>0</v>
      </c>
      <c r="G40" s="466">
        <v>0</v>
      </c>
      <c r="H40" s="468"/>
      <c r="I40" s="468"/>
      <c r="J40" s="501"/>
      <c r="K40" s="463"/>
      <c r="L40" s="466">
        <v>0</v>
      </c>
      <c r="M40" s="466">
        <v>0</v>
      </c>
      <c r="N40" s="466">
        <f t="shared" si="6"/>
        <v>0</v>
      </c>
      <c r="O40" s="463"/>
      <c r="P40" s="466">
        <v>0</v>
      </c>
      <c r="Q40" s="466">
        <v>0</v>
      </c>
      <c r="R40" s="466">
        <f t="shared" si="9"/>
        <v>0</v>
      </c>
      <c r="T40" s="510"/>
      <c r="AB40" s="516"/>
    </row>
    <row r="41" spans="1:28" ht="12.75" x14ac:dyDescent="0.2">
      <c r="A41" s="302">
        <v>32</v>
      </c>
      <c r="B41" s="517">
        <v>336911</v>
      </c>
      <c r="C41" s="517">
        <v>336911</v>
      </c>
      <c r="D41" s="466">
        <f t="shared" si="0"/>
        <v>28075.919999999998</v>
      </c>
      <c r="E41" s="463"/>
      <c r="F41" s="466">
        <v>0</v>
      </c>
      <c r="G41" s="466">
        <v>0</v>
      </c>
      <c r="H41" s="468"/>
      <c r="I41" s="468"/>
      <c r="J41" s="501"/>
      <c r="K41" s="463"/>
      <c r="L41" s="466">
        <v>0</v>
      </c>
      <c r="M41" s="466">
        <v>0</v>
      </c>
      <c r="N41" s="466">
        <f t="shared" si="6"/>
        <v>0</v>
      </c>
      <c r="O41" s="463"/>
      <c r="P41" s="466">
        <v>0</v>
      </c>
      <c r="Q41" s="466">
        <v>0</v>
      </c>
      <c r="R41" s="466">
        <f t="shared" si="9"/>
        <v>0</v>
      </c>
      <c r="T41" s="510"/>
      <c r="AB41" s="517"/>
    </row>
    <row r="42" spans="1:28" ht="12.75" x14ac:dyDescent="0.2">
      <c r="A42" s="302">
        <v>33</v>
      </c>
      <c r="B42" s="517">
        <v>341704</v>
      </c>
      <c r="C42" s="517">
        <v>341704</v>
      </c>
      <c r="D42" s="466">
        <f t="shared" ref="D42:D65" si="10">ROUND(C42/12,2)</f>
        <v>28475.33</v>
      </c>
      <c r="E42" s="463"/>
      <c r="F42" s="466">
        <v>0</v>
      </c>
      <c r="G42" s="466">
        <v>0</v>
      </c>
      <c r="H42" s="468"/>
      <c r="I42" s="468"/>
      <c r="J42" s="501"/>
      <c r="K42" s="463"/>
      <c r="L42" s="466">
        <v>0</v>
      </c>
      <c r="M42" s="466">
        <v>0</v>
      </c>
      <c r="N42" s="466">
        <f t="shared" si="6"/>
        <v>0</v>
      </c>
      <c r="O42" s="463"/>
      <c r="P42" s="466">
        <v>0</v>
      </c>
      <c r="Q42" s="466">
        <v>0</v>
      </c>
      <c r="R42" s="466">
        <f t="shared" si="9"/>
        <v>0</v>
      </c>
      <c r="T42" s="510"/>
      <c r="AB42" s="517"/>
    </row>
    <row r="43" spans="1:28" ht="12.75" x14ac:dyDescent="0.2">
      <c r="A43" s="302">
        <v>34</v>
      </c>
      <c r="B43" s="517">
        <v>346583</v>
      </c>
      <c r="C43" s="517">
        <v>346583</v>
      </c>
      <c r="D43" s="466">
        <f t="shared" si="10"/>
        <v>28881.919999999998</v>
      </c>
      <c r="E43" s="463"/>
      <c r="F43" s="466">
        <v>0</v>
      </c>
      <c r="G43" s="466">
        <v>0</v>
      </c>
      <c r="H43" s="468"/>
      <c r="I43" s="468"/>
      <c r="J43" s="501"/>
      <c r="K43" s="463"/>
      <c r="L43" s="466">
        <v>0</v>
      </c>
      <c r="M43" s="466">
        <v>0</v>
      </c>
      <c r="N43" s="466">
        <f t="shared" si="6"/>
        <v>0</v>
      </c>
      <c r="O43" s="463"/>
      <c r="P43" s="466">
        <v>0</v>
      </c>
      <c r="Q43" s="466">
        <v>0</v>
      </c>
      <c r="R43" s="466">
        <f t="shared" si="9"/>
        <v>0</v>
      </c>
      <c r="T43" s="510"/>
      <c r="AB43" s="517"/>
    </row>
    <row r="44" spans="1:28" ht="12.75" x14ac:dyDescent="0.2">
      <c r="A44" s="302">
        <v>35</v>
      </c>
      <c r="B44" s="518">
        <v>351531</v>
      </c>
      <c r="C44" s="518">
        <v>351531</v>
      </c>
      <c r="D44" s="466">
        <f t="shared" si="10"/>
        <v>29294.25</v>
      </c>
      <c r="E44" s="463"/>
      <c r="F44" s="466">
        <v>0</v>
      </c>
      <c r="G44" s="466">
        <v>0</v>
      </c>
      <c r="H44" s="468"/>
      <c r="I44" s="468"/>
      <c r="J44" s="501"/>
      <c r="K44" s="463"/>
      <c r="L44" s="466">
        <v>0</v>
      </c>
      <c r="M44" s="466">
        <v>0</v>
      </c>
      <c r="N44" s="466">
        <f t="shared" si="6"/>
        <v>0</v>
      </c>
      <c r="O44" s="463"/>
      <c r="P44" s="466">
        <v>0</v>
      </c>
      <c r="Q44" s="466">
        <v>0</v>
      </c>
      <c r="R44" s="466">
        <f t="shared" si="9"/>
        <v>0</v>
      </c>
      <c r="T44" s="511"/>
      <c r="AB44" s="518"/>
    </row>
    <row r="45" spans="1:28" ht="12.75" x14ac:dyDescent="0.2">
      <c r="A45" s="302">
        <v>36</v>
      </c>
      <c r="B45" s="517">
        <v>356560</v>
      </c>
      <c r="C45" s="517">
        <v>356560</v>
      </c>
      <c r="D45" s="466">
        <f t="shared" si="10"/>
        <v>29713.33</v>
      </c>
      <c r="E45" s="463"/>
      <c r="F45" s="466">
        <v>0</v>
      </c>
      <c r="G45" s="466">
        <v>0</v>
      </c>
      <c r="H45" s="468"/>
      <c r="I45" s="468"/>
      <c r="J45" s="501"/>
      <c r="K45" s="463"/>
      <c r="L45" s="466">
        <v>0</v>
      </c>
      <c r="M45" s="466">
        <v>0</v>
      </c>
      <c r="N45" s="466">
        <f t="shared" si="6"/>
        <v>0</v>
      </c>
      <c r="O45" s="463"/>
      <c r="P45" s="466">
        <v>0</v>
      </c>
      <c r="Q45" s="466">
        <v>0</v>
      </c>
      <c r="R45" s="466">
        <f t="shared" si="9"/>
        <v>0</v>
      </c>
      <c r="T45" s="510"/>
      <c r="AB45" s="517"/>
    </row>
    <row r="46" spans="1:28" ht="12.75" x14ac:dyDescent="0.2">
      <c r="A46" s="302">
        <v>37</v>
      </c>
      <c r="B46" s="517">
        <v>361665</v>
      </c>
      <c r="C46" s="517">
        <v>361665</v>
      </c>
      <c r="D46" s="466">
        <f t="shared" si="10"/>
        <v>30138.75</v>
      </c>
      <c r="E46" s="463"/>
      <c r="F46" s="466">
        <v>0</v>
      </c>
      <c r="G46" s="466">
        <v>0</v>
      </c>
      <c r="H46" s="468"/>
      <c r="I46" s="468"/>
      <c r="J46" s="501"/>
      <c r="K46" s="463"/>
      <c r="L46" s="466">
        <v>0</v>
      </c>
      <c r="M46" s="466">
        <v>0</v>
      </c>
      <c r="N46" s="466">
        <f t="shared" si="6"/>
        <v>0</v>
      </c>
      <c r="O46" s="463"/>
      <c r="P46" s="466">
        <v>0</v>
      </c>
      <c r="Q46" s="466">
        <v>0</v>
      </c>
      <c r="R46" s="466">
        <f t="shared" si="9"/>
        <v>0</v>
      </c>
      <c r="T46" s="510"/>
      <c r="AB46" s="517"/>
    </row>
    <row r="47" spans="1:28" ht="12.75" x14ac:dyDescent="0.2">
      <c r="A47" s="302">
        <v>38</v>
      </c>
      <c r="B47" s="517">
        <v>367184</v>
      </c>
      <c r="C47" s="517">
        <v>367184</v>
      </c>
      <c r="D47" s="466">
        <f t="shared" si="10"/>
        <v>30598.67</v>
      </c>
      <c r="E47" s="463"/>
      <c r="F47" s="466">
        <v>0</v>
      </c>
      <c r="G47" s="466">
        <v>0</v>
      </c>
      <c r="H47" s="468"/>
      <c r="I47" s="468"/>
      <c r="J47" s="501"/>
      <c r="K47" s="463"/>
      <c r="L47" s="466">
        <v>0</v>
      </c>
      <c r="M47" s="466">
        <v>0</v>
      </c>
      <c r="N47" s="466">
        <f t="shared" si="6"/>
        <v>0</v>
      </c>
      <c r="O47" s="463"/>
      <c r="P47" s="466">
        <v>0</v>
      </c>
      <c r="Q47" s="466">
        <v>0</v>
      </c>
      <c r="R47" s="466">
        <f t="shared" si="9"/>
        <v>0</v>
      </c>
      <c r="T47" s="510"/>
      <c r="AB47" s="517"/>
    </row>
    <row r="48" spans="1:28" ht="12.75" x14ac:dyDescent="0.2">
      <c r="A48" s="302">
        <v>39</v>
      </c>
      <c r="B48" s="517">
        <v>372555</v>
      </c>
      <c r="C48" s="517">
        <v>372555</v>
      </c>
      <c r="D48" s="466">
        <f t="shared" si="10"/>
        <v>31046.25</v>
      </c>
      <c r="E48" s="463"/>
      <c r="F48" s="466">
        <v>0</v>
      </c>
      <c r="G48" s="466">
        <v>0</v>
      </c>
      <c r="H48" s="468"/>
      <c r="I48" s="468"/>
      <c r="J48" s="501"/>
      <c r="K48" s="463"/>
      <c r="L48" s="466">
        <v>0</v>
      </c>
      <c r="M48" s="466">
        <v>0</v>
      </c>
      <c r="N48" s="466">
        <f t="shared" si="6"/>
        <v>0</v>
      </c>
      <c r="O48" s="463"/>
      <c r="P48" s="466">
        <v>0</v>
      </c>
      <c r="Q48" s="466">
        <v>0</v>
      </c>
      <c r="R48" s="466">
        <f t="shared" si="9"/>
        <v>0</v>
      </c>
      <c r="T48" s="510"/>
      <c r="AB48" s="517"/>
    </row>
    <row r="49" spans="1:28" ht="12.75" x14ac:dyDescent="0.2">
      <c r="A49" s="302">
        <v>40</v>
      </c>
      <c r="B49" s="518">
        <v>378012</v>
      </c>
      <c r="C49" s="518">
        <v>378012</v>
      </c>
      <c r="D49" s="466">
        <f t="shared" si="10"/>
        <v>31501</v>
      </c>
      <c r="E49" s="463"/>
      <c r="F49" s="466">
        <v>0</v>
      </c>
      <c r="G49" s="466">
        <v>0</v>
      </c>
      <c r="H49" s="468"/>
      <c r="I49" s="468"/>
      <c r="J49" s="501"/>
      <c r="K49" s="463"/>
      <c r="L49" s="466">
        <v>0</v>
      </c>
      <c r="M49" s="466">
        <v>0</v>
      </c>
      <c r="N49" s="466">
        <f t="shared" si="6"/>
        <v>0</v>
      </c>
      <c r="O49" s="463"/>
      <c r="P49" s="466">
        <v>0</v>
      </c>
      <c r="Q49" s="466">
        <v>0</v>
      </c>
      <c r="R49" s="466">
        <f t="shared" si="9"/>
        <v>0</v>
      </c>
      <c r="T49" s="511"/>
      <c r="AB49" s="518"/>
    </row>
    <row r="50" spans="1:28" ht="12.75" x14ac:dyDescent="0.2">
      <c r="A50" s="302">
        <v>41</v>
      </c>
      <c r="B50" s="516">
        <v>383548</v>
      </c>
      <c r="C50" s="516">
        <v>383548</v>
      </c>
      <c r="D50" s="466">
        <f t="shared" si="10"/>
        <v>31962.33</v>
      </c>
      <c r="E50" s="463"/>
      <c r="F50" s="466">
        <v>0</v>
      </c>
      <c r="G50" s="466">
        <v>0</v>
      </c>
      <c r="H50" s="468"/>
      <c r="I50" s="468"/>
      <c r="J50" s="501"/>
      <c r="K50" s="463"/>
      <c r="L50" s="466">
        <v>0</v>
      </c>
      <c r="M50" s="466">
        <v>0</v>
      </c>
      <c r="N50" s="466">
        <f t="shared" si="6"/>
        <v>0</v>
      </c>
      <c r="O50" s="463"/>
      <c r="P50" s="466">
        <v>0</v>
      </c>
      <c r="Q50" s="466">
        <v>0</v>
      </c>
      <c r="R50" s="466">
        <f t="shared" si="9"/>
        <v>0</v>
      </c>
      <c r="T50" s="512"/>
      <c r="AB50" s="516"/>
    </row>
    <row r="51" spans="1:28" ht="12.75" x14ac:dyDescent="0.2">
      <c r="A51" s="302">
        <v>42</v>
      </c>
      <c r="B51" s="519">
        <v>389165</v>
      </c>
      <c r="C51" s="519">
        <v>389165</v>
      </c>
      <c r="D51" s="466">
        <f t="shared" si="10"/>
        <v>32430.42</v>
      </c>
      <c r="E51" s="463"/>
      <c r="F51" s="466">
        <v>0</v>
      </c>
      <c r="G51" s="466">
        <v>0</v>
      </c>
      <c r="H51" s="468"/>
      <c r="I51" s="468"/>
      <c r="J51" s="501"/>
      <c r="K51" s="463"/>
      <c r="L51" s="466">
        <v>0</v>
      </c>
      <c r="M51" s="466">
        <v>0</v>
      </c>
      <c r="N51" s="466">
        <f t="shared" si="6"/>
        <v>0</v>
      </c>
      <c r="O51" s="463"/>
      <c r="P51" s="466">
        <v>0</v>
      </c>
      <c r="Q51" s="466">
        <v>0</v>
      </c>
      <c r="R51" s="466">
        <f t="shared" si="9"/>
        <v>0</v>
      </c>
      <c r="T51" s="513"/>
      <c r="AB51" s="519"/>
    </row>
    <row r="52" spans="1:28" ht="12.75" x14ac:dyDescent="0.2">
      <c r="A52" s="302">
        <v>43</v>
      </c>
      <c r="B52" s="519">
        <v>397814</v>
      </c>
      <c r="C52" s="519">
        <v>397814</v>
      </c>
      <c r="D52" s="466">
        <f t="shared" si="10"/>
        <v>33151.17</v>
      </c>
      <c r="E52" s="463"/>
      <c r="F52" s="466">
        <v>0</v>
      </c>
      <c r="G52" s="466">
        <v>0</v>
      </c>
      <c r="H52" s="468"/>
      <c r="I52" s="468"/>
      <c r="J52" s="501"/>
      <c r="K52" s="463"/>
      <c r="L52" s="466">
        <v>0</v>
      </c>
      <c r="M52" s="466">
        <v>0</v>
      </c>
      <c r="N52" s="466">
        <f t="shared" si="6"/>
        <v>0</v>
      </c>
      <c r="O52" s="463"/>
      <c r="P52" s="466">
        <v>0</v>
      </c>
      <c r="Q52" s="466">
        <v>0</v>
      </c>
      <c r="R52" s="466">
        <f t="shared" si="9"/>
        <v>0</v>
      </c>
      <c r="T52" s="513"/>
      <c r="AB52" s="519"/>
    </row>
    <row r="53" spans="1:28" ht="12.75" x14ac:dyDescent="0.2">
      <c r="A53" s="302">
        <v>44</v>
      </c>
      <c r="B53" s="519">
        <v>406702</v>
      </c>
      <c r="C53" s="519">
        <v>406702</v>
      </c>
      <c r="D53" s="466">
        <f t="shared" si="10"/>
        <v>33891.83</v>
      </c>
      <c r="E53" s="463"/>
      <c r="F53" s="466">
        <v>0</v>
      </c>
      <c r="G53" s="466">
        <v>0</v>
      </c>
      <c r="H53" s="468"/>
      <c r="I53" s="468"/>
      <c r="J53" s="501"/>
      <c r="K53" s="463"/>
      <c r="L53" s="466">
        <v>0</v>
      </c>
      <c r="M53" s="466">
        <v>0</v>
      </c>
      <c r="N53" s="466">
        <f t="shared" si="6"/>
        <v>0</v>
      </c>
      <c r="O53" s="463"/>
      <c r="P53" s="466">
        <v>0</v>
      </c>
      <c r="Q53" s="466">
        <v>0</v>
      </c>
      <c r="R53" s="466">
        <f t="shared" si="9"/>
        <v>0</v>
      </c>
      <c r="T53" s="513"/>
      <c r="AB53" s="519"/>
    </row>
    <row r="54" spans="1:28" ht="12.75" x14ac:dyDescent="0.2">
      <c r="A54" s="302">
        <v>45</v>
      </c>
      <c r="B54" s="520">
        <v>415833</v>
      </c>
      <c r="C54" s="520">
        <v>415833</v>
      </c>
      <c r="D54" s="466">
        <f t="shared" si="10"/>
        <v>34652.75</v>
      </c>
      <c r="E54" s="463"/>
      <c r="F54" s="466">
        <v>0</v>
      </c>
      <c r="G54" s="466">
        <v>0</v>
      </c>
      <c r="H54" s="468"/>
      <c r="I54" s="468"/>
      <c r="J54" s="501"/>
      <c r="K54" s="463"/>
      <c r="L54" s="466">
        <v>0</v>
      </c>
      <c r="M54" s="466">
        <v>0</v>
      </c>
      <c r="N54" s="466">
        <f t="shared" si="6"/>
        <v>0</v>
      </c>
      <c r="O54" s="463"/>
      <c r="P54" s="466">
        <v>0</v>
      </c>
      <c r="Q54" s="466">
        <v>0</v>
      </c>
      <c r="R54" s="466">
        <f t="shared" si="9"/>
        <v>0</v>
      </c>
      <c r="T54" s="514"/>
      <c r="AB54" s="520"/>
    </row>
    <row r="55" spans="1:28" ht="12.75" x14ac:dyDescent="0.2">
      <c r="A55" s="302">
        <v>46</v>
      </c>
      <c r="B55" s="519">
        <v>425216</v>
      </c>
      <c r="C55" s="519">
        <v>425216</v>
      </c>
      <c r="D55" s="466">
        <f t="shared" si="10"/>
        <v>35434.67</v>
      </c>
      <c r="E55" s="463"/>
      <c r="F55" s="466">
        <v>0</v>
      </c>
      <c r="G55" s="466">
        <v>0</v>
      </c>
      <c r="H55" s="468"/>
      <c r="I55" s="468"/>
      <c r="J55" s="501"/>
      <c r="K55" s="463"/>
      <c r="L55" s="466">
        <v>0</v>
      </c>
      <c r="M55" s="466">
        <v>0</v>
      </c>
      <c r="N55" s="466">
        <f t="shared" si="6"/>
        <v>0</v>
      </c>
      <c r="O55" s="463"/>
      <c r="P55" s="466">
        <v>0</v>
      </c>
      <c r="Q55" s="466">
        <v>0</v>
      </c>
      <c r="R55" s="466">
        <f t="shared" si="9"/>
        <v>0</v>
      </c>
      <c r="T55" s="513"/>
      <c r="AB55" s="519"/>
    </row>
    <row r="56" spans="1:28" ht="12.75" x14ac:dyDescent="0.2">
      <c r="A56" s="302">
        <v>47</v>
      </c>
      <c r="B56" s="519">
        <v>432785</v>
      </c>
      <c r="C56" s="519">
        <v>432785</v>
      </c>
      <c r="D56" s="466">
        <f t="shared" si="10"/>
        <v>36065.42</v>
      </c>
      <c r="E56" s="463"/>
      <c r="F56" s="466">
        <v>0</v>
      </c>
      <c r="G56" s="466">
        <v>0</v>
      </c>
      <c r="H56" s="468"/>
      <c r="I56" s="468"/>
      <c r="J56" s="501"/>
      <c r="K56" s="463"/>
      <c r="L56" s="466">
        <v>0</v>
      </c>
      <c r="M56" s="466">
        <v>0</v>
      </c>
      <c r="N56" s="466">
        <f t="shared" si="6"/>
        <v>0</v>
      </c>
      <c r="O56" s="463"/>
      <c r="P56" s="466">
        <v>0</v>
      </c>
      <c r="Q56" s="466">
        <v>0</v>
      </c>
      <c r="R56" s="466">
        <f t="shared" si="9"/>
        <v>0</v>
      </c>
      <c r="T56" s="513"/>
      <c r="AB56" s="519"/>
    </row>
    <row r="57" spans="1:28" ht="12.75" x14ac:dyDescent="0.2">
      <c r="A57" s="302">
        <v>48</v>
      </c>
      <c r="B57" s="519">
        <v>452679</v>
      </c>
      <c r="C57" s="519">
        <v>452679</v>
      </c>
      <c r="D57" s="466">
        <f t="shared" si="10"/>
        <v>37723.25</v>
      </c>
      <c r="E57" s="463"/>
      <c r="F57" s="466">
        <v>0</v>
      </c>
      <c r="G57" s="466">
        <v>0</v>
      </c>
      <c r="H57" s="468"/>
      <c r="I57" s="468"/>
      <c r="J57" s="501"/>
      <c r="K57" s="463"/>
      <c r="L57" s="466">
        <v>0</v>
      </c>
      <c r="M57" s="466">
        <v>0</v>
      </c>
      <c r="N57" s="466">
        <f t="shared" si="6"/>
        <v>0</v>
      </c>
      <c r="O57" s="463"/>
      <c r="P57" s="466">
        <v>0</v>
      </c>
      <c r="Q57" s="466">
        <v>0</v>
      </c>
      <c r="R57" s="466">
        <f t="shared" si="9"/>
        <v>0</v>
      </c>
      <c r="T57" s="513"/>
      <c r="AB57" s="519"/>
    </row>
    <row r="58" spans="1:28" ht="12.75" x14ac:dyDescent="0.2">
      <c r="A58" s="302">
        <v>49</v>
      </c>
      <c r="B58" s="519">
        <v>483059</v>
      </c>
      <c r="C58" s="519">
        <v>483059</v>
      </c>
      <c r="D58" s="466">
        <f t="shared" si="10"/>
        <v>40254.92</v>
      </c>
      <c r="E58" s="463"/>
      <c r="F58" s="466">
        <v>0</v>
      </c>
      <c r="G58" s="466">
        <v>0</v>
      </c>
      <c r="H58" s="468"/>
      <c r="I58" s="468"/>
      <c r="J58" s="501"/>
      <c r="K58" s="463"/>
      <c r="L58" s="466">
        <v>0</v>
      </c>
      <c r="M58" s="466">
        <v>0</v>
      </c>
      <c r="N58" s="466">
        <f t="shared" si="6"/>
        <v>0</v>
      </c>
      <c r="O58" s="463"/>
      <c r="P58" s="466">
        <v>0</v>
      </c>
      <c r="Q58" s="466">
        <v>0</v>
      </c>
      <c r="R58" s="466">
        <f t="shared" si="9"/>
        <v>0</v>
      </c>
      <c r="T58" s="513"/>
      <c r="AB58" s="519"/>
    </row>
    <row r="59" spans="1:28" ht="12.75" x14ac:dyDescent="0.2">
      <c r="A59" s="302">
        <v>50</v>
      </c>
      <c r="B59" s="622">
        <v>528969</v>
      </c>
      <c r="C59" s="514">
        <v>516780</v>
      </c>
      <c r="D59" s="466">
        <f t="shared" si="10"/>
        <v>43065</v>
      </c>
      <c r="E59" s="463"/>
      <c r="F59" s="466">
        <v>0</v>
      </c>
      <c r="G59" s="466">
        <v>0</v>
      </c>
      <c r="H59" s="468"/>
      <c r="I59" s="468"/>
      <c r="J59" s="501"/>
      <c r="K59" s="463"/>
      <c r="L59" s="466">
        <v>0</v>
      </c>
      <c r="M59" s="466">
        <v>0</v>
      </c>
      <c r="N59" s="466">
        <f t="shared" si="6"/>
        <v>0</v>
      </c>
      <c r="O59" s="463"/>
      <c r="P59" s="466">
        <v>0</v>
      </c>
      <c r="Q59" s="466">
        <v>0</v>
      </c>
      <c r="R59" s="466">
        <f t="shared" si="9"/>
        <v>0</v>
      </c>
      <c r="T59" s="514"/>
      <c r="AB59" s="520"/>
    </row>
    <row r="60" spans="1:28" ht="12.75" x14ac:dyDescent="0.2">
      <c r="A60" s="302">
        <v>51</v>
      </c>
      <c r="B60" s="623">
        <v>586186</v>
      </c>
      <c r="C60" s="513">
        <v>570821</v>
      </c>
      <c r="D60" s="466">
        <f t="shared" si="10"/>
        <v>47568.42</v>
      </c>
      <c r="E60" s="463"/>
      <c r="F60" s="466">
        <v>0</v>
      </c>
      <c r="G60" s="466">
        <v>0</v>
      </c>
      <c r="H60" s="468"/>
      <c r="I60" s="468"/>
      <c r="J60" s="501"/>
      <c r="K60" s="463"/>
      <c r="L60" s="466">
        <v>0</v>
      </c>
      <c r="M60" s="466">
        <v>0</v>
      </c>
      <c r="N60" s="466">
        <f t="shared" si="6"/>
        <v>0</v>
      </c>
      <c r="O60" s="463"/>
      <c r="P60" s="466">
        <v>0</v>
      </c>
      <c r="Q60" s="466">
        <v>0</v>
      </c>
      <c r="R60" s="466">
        <f t="shared" si="9"/>
        <v>0</v>
      </c>
      <c r="T60" s="513"/>
      <c r="AB60" s="519"/>
    </row>
    <row r="61" spans="1:28" ht="12.75" x14ac:dyDescent="0.2">
      <c r="A61" s="302">
        <v>52</v>
      </c>
      <c r="B61" s="623">
        <v>667605</v>
      </c>
      <c r="C61" s="513">
        <v>649523</v>
      </c>
      <c r="D61" s="466">
        <f t="shared" si="10"/>
        <v>54126.92</v>
      </c>
      <c r="E61" s="463"/>
      <c r="F61" s="466">
        <v>0</v>
      </c>
      <c r="G61" s="466">
        <v>0</v>
      </c>
      <c r="H61" s="468"/>
      <c r="I61" s="468"/>
      <c r="J61" s="501"/>
      <c r="K61" s="463"/>
      <c r="L61" s="466">
        <v>0</v>
      </c>
      <c r="M61" s="466">
        <v>0</v>
      </c>
      <c r="N61" s="466">
        <f t="shared" si="6"/>
        <v>0</v>
      </c>
      <c r="O61" s="463"/>
      <c r="P61" s="466">
        <v>0</v>
      </c>
      <c r="Q61" s="466">
        <v>0</v>
      </c>
      <c r="R61" s="466">
        <f t="shared" si="9"/>
        <v>0</v>
      </c>
      <c r="T61" s="513"/>
      <c r="AB61" s="519"/>
    </row>
    <row r="62" spans="1:28" ht="12.75" x14ac:dyDescent="0.2">
      <c r="A62" s="302">
        <v>53</v>
      </c>
      <c r="B62" s="623">
        <v>743155</v>
      </c>
      <c r="C62" s="513">
        <v>713152</v>
      </c>
      <c r="D62" s="466">
        <f t="shared" si="10"/>
        <v>59429.33</v>
      </c>
      <c r="E62" s="463"/>
      <c r="F62" s="466">
        <v>0</v>
      </c>
      <c r="G62" s="466">
        <v>0</v>
      </c>
      <c r="H62" s="468"/>
      <c r="I62" s="468"/>
      <c r="J62" s="501"/>
      <c r="K62" s="463"/>
      <c r="L62" s="466">
        <v>0</v>
      </c>
      <c r="M62" s="466">
        <v>0</v>
      </c>
      <c r="N62" s="466">
        <f t="shared" si="6"/>
        <v>0</v>
      </c>
      <c r="O62" s="463"/>
      <c r="P62" s="466">
        <v>0</v>
      </c>
      <c r="Q62" s="466">
        <v>0</v>
      </c>
      <c r="R62" s="466">
        <f t="shared" si="9"/>
        <v>0</v>
      </c>
      <c r="T62" s="513"/>
      <c r="AB62" s="519"/>
    </row>
    <row r="63" spans="1:28" ht="12.75" x14ac:dyDescent="0.2">
      <c r="A63" s="302">
        <v>54</v>
      </c>
      <c r="B63" s="623">
        <v>837316</v>
      </c>
      <c r="C63" s="513">
        <v>797979</v>
      </c>
      <c r="D63" s="466">
        <f t="shared" si="10"/>
        <v>66498.25</v>
      </c>
      <c r="E63" s="463"/>
      <c r="F63" s="466">
        <v>0</v>
      </c>
      <c r="G63" s="466">
        <v>0</v>
      </c>
      <c r="H63" s="468"/>
      <c r="I63" s="468"/>
      <c r="J63" s="501"/>
      <c r="K63" s="463"/>
      <c r="L63" s="466">
        <v>0</v>
      </c>
      <c r="M63" s="466">
        <v>0</v>
      </c>
      <c r="N63" s="466">
        <f t="shared" si="6"/>
        <v>0</v>
      </c>
      <c r="O63" s="463"/>
      <c r="P63" s="466">
        <v>0</v>
      </c>
      <c r="Q63" s="466">
        <v>0</v>
      </c>
      <c r="R63" s="466">
        <f t="shared" si="9"/>
        <v>0</v>
      </c>
      <c r="T63" s="513"/>
      <c r="AB63" s="519"/>
    </row>
    <row r="64" spans="1:28" ht="12.75" x14ac:dyDescent="0.2">
      <c r="A64" s="302">
        <v>55</v>
      </c>
      <c r="B64" s="622">
        <v>939280</v>
      </c>
      <c r="C64" s="514">
        <v>899942</v>
      </c>
      <c r="D64" s="466">
        <f t="shared" si="10"/>
        <v>74995.17</v>
      </c>
      <c r="E64" s="463"/>
      <c r="F64" s="466">
        <v>0</v>
      </c>
      <c r="G64" s="466">
        <v>0</v>
      </c>
      <c r="H64" s="468"/>
      <c r="I64" s="468"/>
      <c r="J64" s="501"/>
      <c r="K64" s="463"/>
      <c r="L64" s="466">
        <v>0</v>
      </c>
      <c r="M64" s="466">
        <v>0</v>
      </c>
      <c r="N64" s="466">
        <f t="shared" si="6"/>
        <v>0</v>
      </c>
      <c r="O64" s="463"/>
      <c r="P64" s="466">
        <v>0</v>
      </c>
      <c r="Q64" s="466">
        <v>0</v>
      </c>
      <c r="R64" s="466">
        <f t="shared" si="9"/>
        <v>0</v>
      </c>
      <c r="T64" s="514"/>
      <c r="AB64" s="520"/>
    </row>
    <row r="65" spans="1:28" ht="13.5" thickBot="1" x14ac:dyDescent="0.25">
      <c r="A65" s="302">
        <v>56</v>
      </c>
      <c r="B65" s="624">
        <v>1053619</v>
      </c>
      <c r="C65" s="515">
        <v>1014279</v>
      </c>
      <c r="D65" s="466">
        <f t="shared" si="10"/>
        <v>84523.25</v>
      </c>
      <c r="E65" s="463"/>
      <c r="F65" s="466">
        <v>0</v>
      </c>
      <c r="G65" s="466">
        <v>0</v>
      </c>
      <c r="H65" s="468"/>
      <c r="I65" s="468"/>
      <c r="J65" s="501"/>
      <c r="K65" s="463"/>
      <c r="L65" s="466">
        <v>0</v>
      </c>
      <c r="M65" s="466">
        <v>0</v>
      </c>
      <c r="N65" s="466">
        <f t="shared" si="6"/>
        <v>0</v>
      </c>
      <c r="O65" s="463"/>
      <c r="P65" s="466">
        <v>0</v>
      </c>
      <c r="Q65" s="466">
        <v>0</v>
      </c>
      <c r="R65" s="466">
        <f t="shared" si="9"/>
        <v>0</v>
      </c>
      <c r="T65" s="515"/>
      <c r="AB65" s="521"/>
    </row>
    <row r="66" spans="1:28" ht="13.5" thickTop="1" x14ac:dyDescent="0.2">
      <c r="B66" s="499"/>
      <c r="C66" s="499"/>
      <c r="D66" s="499"/>
      <c r="E66" s="463"/>
      <c r="F66" s="466"/>
      <c r="G66" s="466"/>
      <c r="H66" s="463"/>
      <c r="I66" s="466"/>
      <c r="J66" s="466"/>
      <c r="K66" s="463"/>
      <c r="L66" s="466"/>
      <c r="M66" s="466"/>
      <c r="N66" s="466"/>
      <c r="O66" s="463"/>
      <c r="P66" s="466"/>
      <c r="Q66" s="466"/>
      <c r="R66" s="466"/>
    </row>
    <row r="67" spans="1:28" ht="12.75" x14ac:dyDescent="0.2"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28" ht="12.75" x14ac:dyDescent="0.2"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</row>
    <row r="69" spans="1:28" ht="12.75" x14ac:dyDescent="0.2"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</row>
  </sheetData>
  <customSheetViews>
    <customSheetView guid="{40555330-83BF-42FA-97D0-8A355A41C0A0}" scale="115" state="hidden">
      <pane xSplit="1" ySplit="8" topLeftCell="B9" activePane="bottomRight" state="frozen"/>
      <selection pane="bottomRight" activeCell="I20" sqref="I20"/>
      <pageMargins left="0.78740157480314965" right="0.78740157480314965" top="0.59055118110236227" bottom="0.98425196850393704" header="0.31496062992125984" footer="0.51181102362204722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80314965" right="0.78740157480314965" top="0.59055118110236227" bottom="0.98425196850393704" header="0.31496062992125984" footer="0.51181102362204722"/>
  <pageSetup paperSize="9" orientation="portrait" r:id="rId2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E150"/>
  <sheetViews>
    <sheetView workbookViewId="0">
      <selection activeCell="B11" sqref="B11"/>
    </sheetView>
  </sheetViews>
  <sheetFormatPr defaultRowHeight="11.25" x14ac:dyDescent="0.2"/>
  <cols>
    <col min="1" max="1" width="15.33203125" style="1" customWidth="1"/>
    <col min="2" max="8" width="10.83203125" style="1" customWidth="1"/>
    <col min="9" max="16384" width="9.33203125" style="1"/>
  </cols>
  <sheetData>
    <row r="1" spans="1:5" x14ac:dyDescent="0.2">
      <c r="A1" s="2" t="s">
        <v>157</v>
      </c>
      <c r="B1" s="3"/>
      <c r="C1" s="3"/>
      <c r="D1" s="3"/>
      <c r="E1" s="4"/>
    </row>
    <row r="2" spans="1:5" x14ac:dyDescent="0.2">
      <c r="A2" s="6"/>
      <c r="B2" s="5"/>
      <c r="C2" s="5"/>
      <c r="D2" s="5"/>
      <c r="E2" s="7"/>
    </row>
    <row r="3" spans="1:5" x14ac:dyDescent="0.2">
      <c r="A3" s="86"/>
      <c r="B3" s="86" t="s">
        <v>127</v>
      </c>
      <c r="C3" s="87"/>
      <c r="D3" s="87"/>
      <c r="E3" s="7"/>
    </row>
    <row r="4" spans="1:5" x14ac:dyDescent="0.2">
      <c r="A4" s="86" t="s">
        <v>102</v>
      </c>
      <c r="B4" s="87" t="s">
        <v>234</v>
      </c>
      <c r="C4" s="87"/>
      <c r="D4" s="88"/>
      <c r="E4" s="7"/>
    </row>
    <row r="5" spans="1:5" x14ac:dyDescent="0.2">
      <c r="A5" s="6">
        <v>0</v>
      </c>
      <c r="B5" s="5">
        <f>StartkolonneStandard</f>
        <v>4</v>
      </c>
      <c r="C5" s="89"/>
      <c r="D5" s="89"/>
      <c r="E5" s="7"/>
    </row>
    <row r="6" spans="1:5" x14ac:dyDescent="0.2">
      <c r="A6" s="6">
        <v>1</v>
      </c>
      <c r="B6" s="5">
        <f>StartkolonneAC1</f>
        <v>7</v>
      </c>
      <c r="C6" s="89"/>
      <c r="D6" s="89"/>
      <c r="E6" s="7"/>
    </row>
    <row r="7" spans="1:5" x14ac:dyDescent="0.2">
      <c r="A7" s="6">
        <v>2</v>
      </c>
      <c r="B7" s="5">
        <f>StartkolonneAC2</f>
        <v>2006</v>
      </c>
      <c r="C7" s="89"/>
      <c r="D7" s="89"/>
      <c r="E7" s="7"/>
    </row>
    <row r="8" spans="1:5" x14ac:dyDescent="0.2">
      <c r="A8" s="6">
        <v>3</v>
      </c>
      <c r="B8" s="5">
        <f>StartkolonneSundAlm</f>
        <v>14</v>
      </c>
      <c r="C8" s="89"/>
      <c r="D8" s="89"/>
      <c r="E8" s="7"/>
    </row>
    <row r="9" spans="1:5" x14ac:dyDescent="0.2">
      <c r="A9" s="6">
        <v>4</v>
      </c>
      <c r="B9" s="5">
        <f>StartkolonneSundLeder</f>
        <v>18</v>
      </c>
      <c r="C9" s="89"/>
      <c r="D9" s="89"/>
      <c r="E9" s="7"/>
    </row>
    <row r="10" spans="1:5" x14ac:dyDescent="0.2">
      <c r="A10" s="6">
        <v>5</v>
      </c>
      <c r="B10" s="5" t="e">
        <f>StartkolonneKostfagl</f>
        <v>#REF!</v>
      </c>
      <c r="C10" s="89"/>
      <c r="D10" s="89"/>
      <c r="E10" s="7"/>
    </row>
    <row r="11" spans="1:5" x14ac:dyDescent="0.2">
      <c r="A11" s="6">
        <v>6</v>
      </c>
      <c r="B11" s="5">
        <f>StartkolonneStandard+1</f>
        <v>5</v>
      </c>
      <c r="C11" s="5"/>
      <c r="D11" s="89"/>
      <c r="E11" s="7"/>
    </row>
    <row r="12" spans="1:5" x14ac:dyDescent="0.2">
      <c r="A12" s="8"/>
      <c r="B12" s="9"/>
      <c r="C12" s="9"/>
      <c r="D12" s="9"/>
      <c r="E12" s="85"/>
    </row>
    <row r="13" spans="1:5" x14ac:dyDescent="0.2">
      <c r="A13" s="6"/>
      <c r="B13" s="5"/>
      <c r="C13" s="5"/>
      <c r="D13" s="5"/>
      <c r="E13" s="5"/>
    </row>
    <row r="14" spans="1:5" x14ac:dyDescent="0.2">
      <c r="A14" s="2" t="s">
        <v>265</v>
      </c>
      <c r="B14" s="3"/>
      <c r="C14" s="3"/>
      <c r="D14" s="3"/>
      <c r="E14" s="4"/>
    </row>
    <row r="15" spans="1:5" x14ac:dyDescent="0.2">
      <c r="A15" s="86"/>
      <c r="B15" s="272" t="s">
        <v>127</v>
      </c>
      <c r="C15" s="87"/>
      <c r="D15" s="87"/>
      <c r="E15" s="7"/>
    </row>
    <row r="16" spans="1:5" x14ac:dyDescent="0.2">
      <c r="A16" s="86" t="s">
        <v>102</v>
      </c>
      <c r="B16" s="87"/>
      <c r="C16" s="87"/>
      <c r="D16" s="88"/>
      <c r="E16" s="7"/>
    </row>
    <row r="17" spans="1:5" x14ac:dyDescent="0.2">
      <c r="A17" s="6">
        <v>0</v>
      </c>
      <c r="B17" s="5">
        <f>StartkolonneStandard-2</f>
        <v>2</v>
      </c>
      <c r="C17" s="89"/>
      <c r="D17" s="89"/>
      <c r="E17" s="7"/>
    </row>
    <row r="18" spans="1:5" x14ac:dyDescent="0.2">
      <c r="A18" s="6">
        <v>1</v>
      </c>
      <c r="B18" s="5">
        <f>StartkolonneAC1-1</f>
        <v>6</v>
      </c>
      <c r="C18" s="89"/>
      <c r="D18" s="89"/>
      <c r="E18" s="7"/>
    </row>
    <row r="19" spans="1:5" x14ac:dyDescent="0.2">
      <c r="A19" s="6">
        <v>2</v>
      </c>
      <c r="B19" s="5">
        <f>StartkolonneAC2-1</f>
        <v>2005</v>
      </c>
      <c r="C19" s="89"/>
      <c r="D19" s="89"/>
      <c r="E19" s="7"/>
    </row>
    <row r="20" spans="1:5" x14ac:dyDescent="0.2">
      <c r="A20" s="5">
        <v>3</v>
      </c>
      <c r="B20" s="5">
        <f>StartkolonneSundAlm-2</f>
        <v>12</v>
      </c>
      <c r="C20" s="89"/>
      <c r="D20" s="89"/>
      <c r="E20" s="7"/>
    </row>
    <row r="21" spans="1:5" x14ac:dyDescent="0.2">
      <c r="A21" s="6">
        <v>4</v>
      </c>
      <c r="B21" s="5">
        <f>StartkolonneSundLeder-2</f>
        <v>16</v>
      </c>
      <c r="C21" s="89"/>
      <c r="D21" s="89"/>
      <c r="E21" s="7"/>
    </row>
    <row r="22" spans="1:5" x14ac:dyDescent="0.2">
      <c r="A22" s="6">
        <v>5</v>
      </c>
      <c r="B22" s="5" t="e">
        <f>StartkolonneKostfagl-2</f>
        <v>#REF!</v>
      </c>
      <c r="C22" s="89"/>
      <c r="D22" s="89"/>
      <c r="E22" s="7"/>
    </row>
    <row r="23" spans="1:5" x14ac:dyDescent="0.2">
      <c r="A23" s="6">
        <v>6</v>
      </c>
      <c r="B23" s="5">
        <f>StartkolonneStandard-2</f>
        <v>2</v>
      </c>
      <c r="C23" s="89"/>
      <c r="D23" s="89"/>
      <c r="E23" s="7"/>
    </row>
    <row r="24" spans="1:5" x14ac:dyDescent="0.2">
      <c r="A24" s="8"/>
      <c r="B24" s="9"/>
      <c r="C24" s="9"/>
      <c r="D24" s="273"/>
      <c r="E24" s="85"/>
    </row>
    <row r="25" spans="1:5" x14ac:dyDescent="0.2">
      <c r="A25" s="6"/>
      <c r="B25" s="5"/>
      <c r="C25" s="5"/>
      <c r="D25" s="89"/>
      <c r="E25" s="5"/>
    </row>
    <row r="26" spans="1:5" x14ac:dyDescent="0.2">
      <c r="A26" s="6"/>
      <c r="B26" s="5"/>
      <c r="C26" s="5"/>
      <c r="D26" s="89"/>
      <c r="E26" s="5"/>
    </row>
    <row r="27" spans="1:5" x14ac:dyDescent="0.2">
      <c r="A27" s="6"/>
      <c r="B27" s="5"/>
      <c r="C27" s="5"/>
      <c r="D27" s="5"/>
      <c r="E27" s="5"/>
    </row>
    <row r="28" spans="1:5" x14ac:dyDescent="0.2">
      <c r="A28" s="2" t="s">
        <v>268</v>
      </c>
      <c r="B28" s="3"/>
      <c r="C28" s="3"/>
      <c r="D28" s="3"/>
      <c r="E28" s="4"/>
    </row>
    <row r="29" spans="1:5" x14ac:dyDescent="0.2">
      <c r="A29" s="6"/>
      <c r="B29" s="5"/>
      <c r="C29" s="5"/>
      <c r="D29" s="5"/>
      <c r="E29" s="7"/>
    </row>
    <row r="30" spans="1:5" x14ac:dyDescent="0.2">
      <c r="A30" s="6"/>
      <c r="B30" s="5" t="s">
        <v>102</v>
      </c>
      <c r="C30" s="5" t="s">
        <v>103</v>
      </c>
      <c r="D30" s="5"/>
      <c r="E30" s="7"/>
    </row>
    <row r="31" spans="1:5" x14ac:dyDescent="0.2">
      <c r="A31" s="6"/>
      <c r="B31" s="5"/>
      <c r="C31" s="5" t="s">
        <v>234</v>
      </c>
      <c r="D31" s="5"/>
      <c r="E31" s="7"/>
    </row>
    <row r="32" spans="1:5" x14ac:dyDescent="0.2">
      <c r="A32" s="6"/>
      <c r="B32" s="5"/>
      <c r="C32" s="5"/>
      <c r="D32" s="5"/>
      <c r="E32" s="7"/>
    </row>
    <row r="33" spans="1:5" x14ac:dyDescent="0.2">
      <c r="A33" s="6" t="s">
        <v>243</v>
      </c>
      <c r="B33" s="5">
        <f>LønkodeRåd1</f>
        <v>0</v>
      </c>
      <c r="C33" s="84">
        <f>VLOOKUP(LønkodeRåd1,TabelLøntabel,2,1)</f>
        <v>4</v>
      </c>
      <c r="D33" s="5"/>
      <c r="E33" s="7"/>
    </row>
    <row r="34" spans="1:5" x14ac:dyDescent="0.2">
      <c r="A34" s="6" t="s">
        <v>244</v>
      </c>
      <c r="B34" s="5">
        <f>LønkodeRåd2</f>
        <v>0</v>
      </c>
      <c r="C34" s="84">
        <f>VLOOKUP(LønkodeRåd2,TabelLøntabel,2,1)</f>
        <v>4</v>
      </c>
      <c r="D34" s="5"/>
      <c r="E34" s="7"/>
    </row>
    <row r="35" spans="1:5" x14ac:dyDescent="0.2">
      <c r="A35" s="6"/>
      <c r="B35" s="5"/>
      <c r="C35" s="5"/>
      <c r="D35" s="5"/>
      <c r="E35" s="7"/>
    </row>
    <row r="36" spans="1:5" x14ac:dyDescent="0.2">
      <c r="A36" s="6" t="s">
        <v>261</v>
      </c>
      <c r="B36" s="5">
        <f>LønkodeRåd2Time</f>
        <v>0</v>
      </c>
      <c r="C36" s="84">
        <f>VLOOKUP(LønkodeRåd2Time,TabelLøntabel,2,1)</f>
        <v>4</v>
      </c>
      <c r="D36" s="5"/>
      <c r="E36" s="7"/>
    </row>
    <row r="37" spans="1:5" x14ac:dyDescent="0.2">
      <c r="A37" s="6"/>
      <c r="B37" s="5"/>
      <c r="C37" s="5"/>
      <c r="D37" s="5"/>
      <c r="E37" s="7"/>
    </row>
    <row r="38" spans="1:5" x14ac:dyDescent="0.2">
      <c r="A38" s="6" t="s">
        <v>30</v>
      </c>
      <c r="B38" s="5">
        <f>LønkodeUd</f>
        <v>0</v>
      </c>
      <c r="C38" s="84">
        <f>VLOOKUP(LønkodeUd,TabelLøntabel,2,1)</f>
        <v>4</v>
      </c>
      <c r="D38" s="84"/>
      <c r="E38" s="220"/>
    </row>
    <row r="39" spans="1:5" x14ac:dyDescent="0.2">
      <c r="A39" s="6" t="s">
        <v>156</v>
      </c>
      <c r="B39" s="5">
        <f>LønkodeNyLøn</f>
        <v>0</v>
      </c>
      <c r="C39" s="84">
        <f>VLOOKUP(LønkodeNyLøn,TabelLøntabel,2,1)</f>
        <v>4</v>
      </c>
      <c r="D39" s="5"/>
      <c r="E39" s="220"/>
    </row>
    <row r="40" spans="1:5" x14ac:dyDescent="0.2">
      <c r="A40" s="6"/>
      <c r="B40" s="5"/>
      <c r="C40" s="84"/>
      <c r="D40" s="84"/>
      <c r="E40" s="220"/>
    </row>
    <row r="41" spans="1:5" x14ac:dyDescent="0.2">
      <c r="A41" s="6"/>
      <c r="B41" s="5"/>
      <c r="C41" s="84"/>
      <c r="D41" s="84"/>
      <c r="E41" s="7"/>
    </row>
    <row r="42" spans="1:5" x14ac:dyDescent="0.2">
      <c r="A42" s="6" t="s">
        <v>124</v>
      </c>
      <c r="B42" s="5"/>
      <c r="C42" s="84"/>
      <c r="D42" s="84"/>
      <c r="E42" s="7"/>
    </row>
    <row r="43" spans="1:5" x14ac:dyDescent="0.2">
      <c r="A43" s="6"/>
      <c r="B43" s="5">
        <v>0</v>
      </c>
      <c r="C43" s="5">
        <f>StartkolonneStandard</f>
        <v>4</v>
      </c>
      <c r="D43" s="5"/>
      <c r="E43" s="7"/>
    </row>
    <row r="44" spans="1:5" x14ac:dyDescent="0.2">
      <c r="A44" s="6"/>
      <c r="B44" s="5">
        <v>1</v>
      </c>
      <c r="C44" s="5">
        <f>StartkolonneAC1</f>
        <v>7</v>
      </c>
      <c r="D44" s="5"/>
      <c r="E44" s="7"/>
    </row>
    <row r="45" spans="1:5" x14ac:dyDescent="0.2">
      <c r="A45" s="6"/>
      <c r="B45" s="5">
        <v>2</v>
      </c>
      <c r="C45" s="5">
        <f>StartkolonneAC2</f>
        <v>2006</v>
      </c>
      <c r="D45" s="5"/>
      <c r="E45" s="7"/>
    </row>
    <row r="46" spans="1:5" x14ac:dyDescent="0.2">
      <c r="A46" s="6"/>
      <c r="B46" s="5">
        <v>3</v>
      </c>
      <c r="C46" s="5">
        <f>StartkolonneSundAlm</f>
        <v>14</v>
      </c>
      <c r="D46" s="5"/>
      <c r="E46" s="7"/>
    </row>
    <row r="47" spans="1:5" x14ac:dyDescent="0.2">
      <c r="A47" s="6"/>
      <c r="B47" s="5">
        <v>4</v>
      </c>
      <c r="C47" s="5">
        <f>StartkolonneSundLeder</f>
        <v>18</v>
      </c>
      <c r="D47" s="5"/>
      <c r="E47" s="7"/>
    </row>
    <row r="48" spans="1:5" x14ac:dyDescent="0.2">
      <c r="A48" s="6"/>
      <c r="B48" s="5">
        <v>5</v>
      </c>
      <c r="C48" s="5" t="e">
        <f>StartkolonneKostfagl</f>
        <v>#REF!</v>
      </c>
      <c r="D48" s="5"/>
      <c r="E48" s="7"/>
    </row>
    <row r="49" spans="1:5" x14ac:dyDescent="0.2">
      <c r="A49" s="6"/>
      <c r="B49" s="5">
        <v>5</v>
      </c>
      <c r="C49" s="5">
        <f>StartkolonneStandard+1</f>
        <v>5</v>
      </c>
      <c r="D49" s="5"/>
      <c r="E49" s="7"/>
    </row>
    <row r="50" spans="1:5" x14ac:dyDescent="0.2">
      <c r="A50" s="8"/>
      <c r="B50" s="9"/>
      <c r="C50" s="9"/>
      <c r="D50" s="9"/>
      <c r="E50" s="85"/>
    </row>
    <row r="54" spans="1:5" x14ac:dyDescent="0.2">
      <c r="A54" s="2" t="s">
        <v>124</v>
      </c>
      <c r="B54" s="3"/>
      <c r="C54" s="3"/>
      <c r="D54" s="3"/>
      <c r="E54" s="4"/>
    </row>
    <row r="55" spans="1:5" x14ac:dyDescent="0.2">
      <c r="A55" s="2" t="s">
        <v>106</v>
      </c>
      <c r="B55" s="5"/>
      <c r="C55" s="5"/>
      <c r="D55" s="5"/>
      <c r="E55" s="7"/>
    </row>
    <row r="56" spans="1:5" x14ac:dyDescent="0.2">
      <c r="A56" s="6"/>
      <c r="B56" s="5"/>
      <c r="C56" s="5"/>
      <c r="D56" s="90"/>
      <c r="E56" s="7"/>
    </row>
    <row r="57" spans="1:5" x14ac:dyDescent="0.2">
      <c r="A57" s="6">
        <v>0</v>
      </c>
      <c r="B57" s="5" t="s">
        <v>7</v>
      </c>
      <c r="C57" s="5"/>
      <c r="D57" s="5"/>
      <c r="E57" s="7"/>
    </row>
    <row r="58" spans="1:5" x14ac:dyDescent="0.2">
      <c r="A58" s="6">
        <v>1</v>
      </c>
      <c r="B58" s="5" t="s">
        <v>65</v>
      </c>
      <c r="C58" s="5"/>
      <c r="D58" s="5"/>
      <c r="E58" s="7"/>
    </row>
    <row r="59" spans="1:5" x14ac:dyDescent="0.2">
      <c r="A59" s="6">
        <v>2</v>
      </c>
      <c r="B59" s="5" t="s">
        <v>72</v>
      </c>
      <c r="C59" s="5"/>
      <c r="D59" s="5"/>
      <c r="E59" s="7"/>
    </row>
    <row r="60" spans="1:5" x14ac:dyDescent="0.2">
      <c r="A60" s="6">
        <v>3</v>
      </c>
      <c r="B60" s="5" t="s">
        <v>57</v>
      </c>
      <c r="C60" s="90"/>
      <c r="D60" s="5"/>
      <c r="E60" s="7"/>
    </row>
    <row r="61" spans="1:5" x14ac:dyDescent="0.2">
      <c r="A61" s="6">
        <v>4</v>
      </c>
      <c r="B61" s="90" t="s">
        <v>58</v>
      </c>
      <c r="C61" s="90"/>
      <c r="D61" s="5"/>
      <c r="E61" s="7"/>
    </row>
    <row r="62" spans="1:5" x14ac:dyDescent="0.2">
      <c r="A62" s="6">
        <v>5</v>
      </c>
      <c r="B62" s="90" t="s">
        <v>195</v>
      </c>
      <c r="C62" s="5"/>
      <c r="D62" s="5"/>
      <c r="E62" s="7"/>
    </row>
    <row r="63" spans="1:5" x14ac:dyDescent="0.2">
      <c r="A63" s="6">
        <v>6</v>
      </c>
      <c r="B63" s="90" t="s">
        <v>7</v>
      </c>
      <c r="C63" s="5"/>
      <c r="D63" s="5"/>
      <c r="E63" s="7"/>
    </row>
    <row r="64" spans="1:5" x14ac:dyDescent="0.2">
      <c r="A64" s="8"/>
      <c r="B64" s="9"/>
      <c r="C64" s="9"/>
      <c r="D64" s="9"/>
      <c r="E64" s="85"/>
    </row>
    <row r="66" spans="1:5" x14ac:dyDescent="0.2">
      <c r="A66" s="2" t="s">
        <v>124</v>
      </c>
      <c r="B66" s="3"/>
      <c r="C66" s="3"/>
      <c r="D66" s="3"/>
      <c r="E66" s="4"/>
    </row>
    <row r="67" spans="1:5" x14ac:dyDescent="0.2">
      <c r="A67" s="6" t="s">
        <v>137</v>
      </c>
      <c r="B67" s="5"/>
      <c r="C67" s="5"/>
      <c r="D67" s="5"/>
      <c r="E67" s="7"/>
    </row>
    <row r="68" spans="1:5" x14ac:dyDescent="0.2">
      <c r="A68" s="6"/>
      <c r="B68" s="5"/>
      <c r="C68" s="5"/>
      <c r="D68" s="5"/>
      <c r="E68" s="7"/>
    </row>
    <row r="69" spans="1:5" x14ac:dyDescent="0.2">
      <c r="A69" s="6" t="s">
        <v>128</v>
      </c>
      <c r="B69" s="5" t="s">
        <v>130</v>
      </c>
      <c r="C69" s="5" t="s">
        <v>138</v>
      </c>
      <c r="D69" s="5"/>
      <c r="E69" s="7"/>
    </row>
    <row r="70" spans="1:5" x14ac:dyDescent="0.2">
      <c r="A70" s="6">
        <v>0</v>
      </c>
      <c r="B70" s="5" t="s">
        <v>7</v>
      </c>
      <c r="C70" s="5">
        <v>0</v>
      </c>
      <c r="D70" s="5"/>
      <c r="E70" s="7"/>
    </row>
    <row r="71" spans="1:5" x14ac:dyDescent="0.2">
      <c r="A71" s="6">
        <v>1</v>
      </c>
      <c r="B71" s="5" t="s">
        <v>65</v>
      </c>
      <c r="C71" s="5">
        <v>1</v>
      </c>
      <c r="D71" s="5"/>
      <c r="E71" s="7"/>
    </row>
    <row r="72" spans="1:5" x14ac:dyDescent="0.2">
      <c r="A72" s="6">
        <v>2</v>
      </c>
      <c r="B72" s="5" t="s">
        <v>72</v>
      </c>
      <c r="C72" s="5">
        <v>1</v>
      </c>
      <c r="D72" s="5"/>
      <c r="E72" s="7"/>
    </row>
    <row r="73" spans="1:5" x14ac:dyDescent="0.2">
      <c r="A73" s="6">
        <v>3</v>
      </c>
      <c r="B73" s="5" t="s">
        <v>57</v>
      </c>
      <c r="C73" s="5">
        <v>0</v>
      </c>
      <c r="D73" s="5"/>
      <c r="E73" s="7"/>
    </row>
    <row r="74" spans="1:5" x14ac:dyDescent="0.2">
      <c r="A74" s="6">
        <v>4</v>
      </c>
      <c r="B74" s="90" t="s">
        <v>58</v>
      </c>
      <c r="C74" s="5">
        <v>0</v>
      </c>
      <c r="D74" s="5"/>
      <c r="E74" s="7"/>
    </row>
    <row r="75" spans="1:5" x14ac:dyDescent="0.2">
      <c r="A75" s="6">
        <v>5</v>
      </c>
      <c r="B75" s="90" t="s">
        <v>175</v>
      </c>
      <c r="C75" s="5">
        <v>1</v>
      </c>
      <c r="D75" s="5"/>
      <c r="E75" s="7"/>
    </row>
    <row r="76" spans="1:5" x14ac:dyDescent="0.2">
      <c r="A76" s="6">
        <v>6</v>
      </c>
      <c r="B76" s="90" t="s">
        <v>7</v>
      </c>
      <c r="C76" s="5">
        <v>0</v>
      </c>
      <c r="D76" s="5"/>
      <c r="E76" s="7"/>
    </row>
    <row r="77" spans="1:5" x14ac:dyDescent="0.2">
      <c r="A77" s="8"/>
      <c r="B77" s="9"/>
      <c r="C77" s="9"/>
      <c r="D77" s="9"/>
      <c r="E77" s="85"/>
    </row>
    <row r="79" spans="1:5" x14ac:dyDescent="0.2">
      <c r="A79" s="2" t="s">
        <v>124</v>
      </c>
      <c r="B79" s="3"/>
      <c r="C79" s="3"/>
      <c r="D79" s="3"/>
      <c r="E79" s="4"/>
    </row>
    <row r="80" spans="1:5" x14ac:dyDescent="0.2">
      <c r="A80" s="6" t="s">
        <v>142</v>
      </c>
      <c r="B80" s="5"/>
      <c r="C80" s="5"/>
      <c r="D80" s="5"/>
      <c r="E80" s="7"/>
    </row>
    <row r="81" spans="1:5" x14ac:dyDescent="0.2">
      <c r="A81" s="6"/>
      <c r="B81" s="5"/>
      <c r="C81" s="5"/>
      <c r="D81" s="5"/>
      <c r="E81" s="7"/>
    </row>
    <row r="82" spans="1:5" x14ac:dyDescent="0.2">
      <c r="A82" s="6" t="s">
        <v>128</v>
      </c>
      <c r="B82" s="5" t="s">
        <v>130</v>
      </c>
      <c r="C82" s="5" t="s">
        <v>143</v>
      </c>
      <c r="D82" s="5"/>
      <c r="E82" s="7"/>
    </row>
    <row r="83" spans="1:5" x14ac:dyDescent="0.2">
      <c r="A83" s="6">
        <v>0</v>
      </c>
      <c r="B83" s="5" t="s">
        <v>7</v>
      </c>
      <c r="C83" s="5">
        <v>0</v>
      </c>
      <c r="D83" s="5"/>
      <c r="E83" s="7"/>
    </row>
    <row r="84" spans="1:5" x14ac:dyDescent="0.2">
      <c r="A84" s="6">
        <v>1</v>
      </c>
      <c r="B84" s="5" t="s">
        <v>65</v>
      </c>
      <c r="C84" s="5">
        <v>0</v>
      </c>
      <c r="D84" s="5"/>
      <c r="E84" s="7"/>
    </row>
    <row r="85" spans="1:5" x14ac:dyDescent="0.2">
      <c r="A85" s="6">
        <v>2</v>
      </c>
      <c r="B85" s="5" t="s">
        <v>72</v>
      </c>
      <c r="C85" s="5">
        <v>0</v>
      </c>
      <c r="D85" s="5"/>
      <c r="E85" s="7"/>
    </row>
    <row r="86" spans="1:5" x14ac:dyDescent="0.2">
      <c r="A86" s="6">
        <v>3</v>
      </c>
      <c r="B86" s="5" t="s">
        <v>57</v>
      </c>
      <c r="C86" s="5">
        <v>1.95</v>
      </c>
      <c r="D86" s="5"/>
      <c r="E86" s="7"/>
    </row>
    <row r="87" spans="1:5" x14ac:dyDescent="0.2">
      <c r="A87" s="6">
        <v>4</v>
      </c>
      <c r="B87" s="90" t="s">
        <v>58</v>
      </c>
      <c r="C87" s="5">
        <v>1.95</v>
      </c>
      <c r="D87" s="5"/>
      <c r="E87" s="7"/>
    </row>
    <row r="88" spans="1:5" x14ac:dyDescent="0.2">
      <c r="A88" s="6">
        <v>5</v>
      </c>
      <c r="B88" s="90" t="s">
        <v>175</v>
      </c>
      <c r="C88" s="5">
        <v>0</v>
      </c>
      <c r="D88" s="5"/>
      <c r="E88" s="7"/>
    </row>
    <row r="89" spans="1:5" x14ac:dyDescent="0.2">
      <c r="A89" s="6">
        <v>6</v>
      </c>
      <c r="B89" s="90" t="s">
        <v>7</v>
      </c>
      <c r="C89" s="5">
        <v>0</v>
      </c>
      <c r="D89" s="5"/>
      <c r="E89" s="7"/>
    </row>
    <row r="90" spans="1:5" x14ac:dyDescent="0.2">
      <c r="A90" s="8"/>
      <c r="B90" s="9"/>
      <c r="C90" s="9"/>
      <c r="D90" s="9"/>
      <c r="E90" s="85"/>
    </row>
    <row r="92" spans="1:5" x14ac:dyDescent="0.2">
      <c r="A92" s="2" t="s">
        <v>124</v>
      </c>
      <c r="B92" s="3"/>
      <c r="C92" s="3"/>
      <c r="D92" s="3"/>
      <c r="E92" s="4"/>
    </row>
    <row r="93" spans="1:5" x14ac:dyDescent="0.2">
      <c r="A93" s="6" t="s">
        <v>169</v>
      </c>
      <c r="B93" s="5"/>
      <c r="C93" s="5"/>
      <c r="D93" s="5"/>
      <c r="E93" s="7"/>
    </row>
    <row r="94" spans="1:5" x14ac:dyDescent="0.2">
      <c r="A94" s="6"/>
      <c r="B94" s="5"/>
      <c r="C94" s="5"/>
      <c r="D94" s="5"/>
      <c r="E94" s="7"/>
    </row>
    <row r="95" spans="1:5" x14ac:dyDescent="0.2">
      <c r="A95" s="6" t="s">
        <v>128</v>
      </c>
      <c r="B95" s="5" t="s">
        <v>130</v>
      </c>
      <c r="C95" s="5" t="s">
        <v>170</v>
      </c>
      <c r="D95" s="5"/>
      <c r="E95" s="7"/>
    </row>
    <row r="96" spans="1:5" x14ac:dyDescent="0.2">
      <c r="A96" s="6">
        <v>0</v>
      </c>
      <c r="B96" s="5" t="s">
        <v>7</v>
      </c>
      <c r="C96" s="236">
        <v>1</v>
      </c>
      <c r="D96" s="5"/>
      <c r="E96" s="7"/>
    </row>
    <row r="97" spans="1:5" x14ac:dyDescent="0.2">
      <c r="A97" s="6">
        <v>1</v>
      </c>
      <c r="B97" s="5" t="s">
        <v>65</v>
      </c>
      <c r="C97" s="236">
        <v>1</v>
      </c>
      <c r="D97" s="5"/>
      <c r="E97" s="7"/>
    </row>
    <row r="98" spans="1:5" x14ac:dyDescent="0.2">
      <c r="A98" s="6">
        <v>2</v>
      </c>
      <c r="B98" s="5" t="s">
        <v>72</v>
      </c>
      <c r="C98" s="236">
        <v>1</v>
      </c>
      <c r="D98" s="5"/>
      <c r="E98" s="7"/>
    </row>
    <row r="99" spans="1:5" x14ac:dyDescent="0.2">
      <c r="A99" s="6">
        <v>3</v>
      </c>
      <c r="B99" s="5" t="s">
        <v>57</v>
      </c>
      <c r="C99" s="236">
        <v>1</v>
      </c>
      <c r="D99" s="5"/>
      <c r="E99" s="7"/>
    </row>
    <row r="100" spans="1:5" x14ac:dyDescent="0.2">
      <c r="A100" s="6">
        <v>4</v>
      </c>
      <c r="B100" s="90" t="s">
        <v>58</v>
      </c>
      <c r="C100" s="236">
        <v>1</v>
      </c>
      <c r="D100" s="5"/>
      <c r="E100" s="7"/>
    </row>
    <row r="101" spans="1:5" x14ac:dyDescent="0.2">
      <c r="A101" s="6">
        <v>5</v>
      </c>
      <c r="B101" s="90" t="s">
        <v>175</v>
      </c>
      <c r="C101" s="236">
        <v>1</v>
      </c>
      <c r="D101" s="5"/>
      <c r="E101" s="7"/>
    </row>
    <row r="102" spans="1:5" x14ac:dyDescent="0.2">
      <c r="A102" s="6">
        <v>6</v>
      </c>
      <c r="B102" s="90" t="s">
        <v>7</v>
      </c>
      <c r="C102" s="236">
        <v>1</v>
      </c>
      <c r="D102" s="5"/>
      <c r="E102" s="7"/>
    </row>
    <row r="103" spans="1:5" x14ac:dyDescent="0.2">
      <c r="A103" s="8"/>
      <c r="B103" s="9"/>
      <c r="C103" s="9"/>
      <c r="D103" s="9"/>
      <c r="E103" s="85"/>
    </row>
    <row r="105" spans="1:5" x14ac:dyDescent="0.2">
      <c r="A105" s="2" t="s">
        <v>124</v>
      </c>
      <c r="B105" s="3"/>
      <c r="C105" s="3"/>
      <c r="D105" s="3"/>
      <c r="E105" s="4"/>
    </row>
    <row r="106" spans="1:5" x14ac:dyDescent="0.2">
      <c r="A106" s="6" t="s">
        <v>136</v>
      </c>
      <c r="B106" s="5"/>
      <c r="C106" s="5"/>
      <c r="D106" s="5"/>
      <c r="E106" s="7"/>
    </row>
    <row r="107" spans="1:5" x14ac:dyDescent="0.2">
      <c r="A107" s="6"/>
      <c r="B107" s="5"/>
      <c r="C107" s="5"/>
      <c r="D107" s="5"/>
      <c r="E107" s="7"/>
    </row>
    <row r="108" spans="1:5" x14ac:dyDescent="0.2">
      <c r="A108" s="6" t="s">
        <v>128</v>
      </c>
      <c r="B108" s="5" t="s">
        <v>130</v>
      </c>
      <c r="C108" s="5" t="s">
        <v>143</v>
      </c>
      <c r="D108" s="5"/>
      <c r="E108" s="7"/>
    </row>
    <row r="109" spans="1:5" x14ac:dyDescent="0.2">
      <c r="A109" s="6">
        <v>0</v>
      </c>
      <c r="B109" s="5" t="s">
        <v>7</v>
      </c>
      <c r="C109" s="5">
        <v>0</v>
      </c>
      <c r="D109" s="5"/>
      <c r="E109" s="7"/>
    </row>
    <row r="110" spans="1:5" x14ac:dyDescent="0.2">
      <c r="A110" s="6">
        <v>1</v>
      </c>
      <c r="B110" s="5" t="s">
        <v>65</v>
      </c>
      <c r="C110" s="5">
        <v>-1</v>
      </c>
      <c r="D110" s="5"/>
      <c r="E110" s="7"/>
    </row>
    <row r="111" spans="1:5" x14ac:dyDescent="0.2">
      <c r="A111" s="6">
        <v>2</v>
      </c>
      <c r="B111" s="5" t="s">
        <v>72</v>
      </c>
      <c r="C111" s="5">
        <v>1</v>
      </c>
      <c r="D111" s="5"/>
      <c r="E111" s="7"/>
    </row>
    <row r="112" spans="1:5" x14ac:dyDescent="0.2">
      <c r="A112" s="6">
        <v>3</v>
      </c>
      <c r="B112" s="5" t="s">
        <v>57</v>
      </c>
      <c r="C112" s="5">
        <v>-1</v>
      </c>
      <c r="D112" s="5"/>
      <c r="E112" s="7"/>
    </row>
    <row r="113" spans="1:5" x14ac:dyDescent="0.2">
      <c r="A113" s="6">
        <v>4</v>
      </c>
      <c r="B113" s="90" t="s">
        <v>58</v>
      </c>
      <c r="C113" s="5">
        <v>1</v>
      </c>
      <c r="D113" s="5"/>
      <c r="E113" s="7"/>
    </row>
    <row r="114" spans="1:5" x14ac:dyDescent="0.2">
      <c r="A114" s="6">
        <v>5</v>
      </c>
      <c r="B114" s="90" t="s">
        <v>175</v>
      </c>
      <c r="C114" s="5">
        <v>-1</v>
      </c>
      <c r="D114" s="5"/>
      <c r="E114" s="7"/>
    </row>
    <row r="115" spans="1:5" x14ac:dyDescent="0.2">
      <c r="A115" s="6">
        <v>6</v>
      </c>
      <c r="B115" s="90" t="s">
        <v>7</v>
      </c>
      <c r="C115" s="5">
        <v>0</v>
      </c>
      <c r="D115" s="5"/>
      <c r="E115" s="7"/>
    </row>
    <row r="116" spans="1:5" x14ac:dyDescent="0.2">
      <c r="A116" s="8"/>
      <c r="B116" s="9"/>
      <c r="C116" s="9"/>
      <c r="D116" s="9"/>
      <c r="E116" s="85"/>
    </row>
    <row r="118" spans="1:5" x14ac:dyDescent="0.2">
      <c r="A118" s="2" t="s">
        <v>262</v>
      </c>
      <c r="B118" s="3"/>
      <c r="C118" s="3"/>
      <c r="D118" s="3"/>
      <c r="E118" s="4"/>
    </row>
    <row r="119" spans="1:5" x14ac:dyDescent="0.2">
      <c r="A119" s="6"/>
      <c r="B119" s="5"/>
      <c r="C119" s="5"/>
      <c r="D119" s="5"/>
      <c r="E119" s="7"/>
    </row>
    <row r="120" spans="1:5" x14ac:dyDescent="0.2">
      <c r="A120" s="6"/>
      <c r="B120" s="5" t="s">
        <v>102</v>
      </c>
      <c r="C120" s="5" t="s">
        <v>245</v>
      </c>
      <c r="D120" s="5" t="s">
        <v>120</v>
      </c>
      <c r="E120" s="7"/>
    </row>
    <row r="121" spans="1:5" x14ac:dyDescent="0.2">
      <c r="A121" s="6" t="s">
        <v>243</v>
      </c>
      <c r="B121" s="5">
        <f>LønkodeRåd1</f>
        <v>0</v>
      </c>
      <c r="C121" s="5"/>
      <c r="D121" s="5"/>
      <c r="E121" s="7"/>
    </row>
    <row r="122" spans="1:5" x14ac:dyDescent="0.2">
      <c r="A122" s="6" t="s">
        <v>244</v>
      </c>
      <c r="B122" s="5">
        <f>LønkodeRåd2</f>
        <v>0</v>
      </c>
      <c r="C122" s="5"/>
      <c r="D122" s="5"/>
      <c r="E122" s="7"/>
    </row>
    <row r="123" spans="1:5" x14ac:dyDescent="0.2">
      <c r="A123" s="6" t="s">
        <v>261</v>
      </c>
      <c r="B123" s="5">
        <f>LønkodeRåd2Time</f>
        <v>0</v>
      </c>
      <c r="C123" s="5"/>
      <c r="D123" s="5"/>
      <c r="E123" s="7"/>
    </row>
    <row r="124" spans="1:5" x14ac:dyDescent="0.2">
      <c r="A124" s="8"/>
      <c r="B124" s="9"/>
      <c r="C124" s="9"/>
      <c r="D124" s="9"/>
      <c r="E124" s="85"/>
    </row>
    <row r="126" spans="1:5" x14ac:dyDescent="0.2">
      <c r="A126" s="2" t="s">
        <v>124</v>
      </c>
      <c r="B126" s="3"/>
      <c r="C126" s="3"/>
      <c r="D126" s="3"/>
      <c r="E126" s="4"/>
    </row>
    <row r="127" spans="1:5" x14ac:dyDescent="0.2">
      <c r="A127" s="6" t="s">
        <v>257</v>
      </c>
      <c r="B127" s="5"/>
      <c r="C127" s="5"/>
      <c r="D127" s="5"/>
      <c r="E127" s="7"/>
    </row>
    <row r="128" spans="1:5" x14ac:dyDescent="0.2">
      <c r="A128" s="6"/>
      <c r="B128" s="5"/>
      <c r="C128" s="5"/>
      <c r="D128" s="5"/>
      <c r="E128" s="7"/>
    </row>
    <row r="129" spans="1:5" x14ac:dyDescent="0.2">
      <c r="A129" s="6" t="s">
        <v>128</v>
      </c>
      <c r="B129" s="5" t="s">
        <v>130</v>
      </c>
      <c r="C129" s="5" t="s">
        <v>129</v>
      </c>
      <c r="D129" s="5"/>
      <c r="E129" s="7"/>
    </row>
    <row r="130" spans="1:5" x14ac:dyDescent="0.2">
      <c r="A130" s="6">
        <v>0</v>
      </c>
      <c r="B130" s="5" t="s">
        <v>7</v>
      </c>
      <c r="C130" s="5">
        <v>0</v>
      </c>
      <c r="D130" s="5"/>
      <c r="E130" s="7"/>
    </row>
    <row r="131" spans="1:5" x14ac:dyDescent="0.2">
      <c r="A131" s="6">
        <v>1</v>
      </c>
      <c r="B131" s="5" t="s">
        <v>65</v>
      </c>
      <c r="C131" s="5">
        <v>0</v>
      </c>
      <c r="D131" s="5"/>
      <c r="E131" s="7"/>
    </row>
    <row r="132" spans="1:5" x14ac:dyDescent="0.2">
      <c r="A132" s="6">
        <v>2</v>
      </c>
      <c r="B132" s="5" t="s">
        <v>72</v>
      </c>
      <c r="C132" s="5">
        <v>0</v>
      </c>
      <c r="D132" s="5"/>
      <c r="E132" s="7"/>
    </row>
    <row r="133" spans="1:5" x14ac:dyDescent="0.2">
      <c r="A133" s="6">
        <v>3</v>
      </c>
      <c r="B133" s="5" t="s">
        <v>57</v>
      </c>
      <c r="C133" s="5">
        <v>1</v>
      </c>
      <c r="D133" s="5"/>
      <c r="E133" s="7"/>
    </row>
    <row r="134" spans="1:5" x14ac:dyDescent="0.2">
      <c r="A134" s="6">
        <v>4</v>
      </c>
      <c r="B134" s="90" t="s">
        <v>58</v>
      </c>
      <c r="C134" s="5">
        <v>1</v>
      </c>
      <c r="D134" s="5"/>
      <c r="E134" s="7"/>
    </row>
    <row r="135" spans="1:5" x14ac:dyDescent="0.2">
      <c r="A135" s="6">
        <v>5</v>
      </c>
      <c r="B135" s="90" t="s">
        <v>175</v>
      </c>
      <c r="C135" s="5">
        <v>1</v>
      </c>
      <c r="D135" s="5"/>
      <c r="E135" s="7"/>
    </row>
    <row r="136" spans="1:5" x14ac:dyDescent="0.2">
      <c r="A136" s="6">
        <v>6</v>
      </c>
      <c r="B136" s="90" t="s">
        <v>7</v>
      </c>
      <c r="C136" s="5">
        <v>0</v>
      </c>
      <c r="D136" s="5"/>
      <c r="E136" s="7"/>
    </row>
    <row r="137" spans="1:5" x14ac:dyDescent="0.2">
      <c r="A137" s="8"/>
      <c r="B137" s="9"/>
      <c r="C137" s="9"/>
      <c r="D137" s="9"/>
      <c r="E137" s="85"/>
    </row>
    <row r="139" spans="1:5" x14ac:dyDescent="0.2">
      <c r="A139" s="2" t="s">
        <v>271</v>
      </c>
      <c r="B139" s="3"/>
      <c r="C139" s="3"/>
      <c r="D139" s="3"/>
      <c r="E139" s="4"/>
    </row>
    <row r="140" spans="1:5" x14ac:dyDescent="0.2">
      <c r="A140" s="6" t="s">
        <v>272</v>
      </c>
      <c r="B140" s="5"/>
      <c r="C140" s="5"/>
      <c r="D140" s="5"/>
      <c r="E140" s="7"/>
    </row>
    <row r="141" spans="1:5" x14ac:dyDescent="0.2">
      <c r="A141" s="6"/>
      <c r="B141" s="5" t="s">
        <v>280</v>
      </c>
      <c r="C141" s="5"/>
      <c r="D141" s="5"/>
      <c r="E141" s="7"/>
    </row>
    <row r="142" spans="1:5" x14ac:dyDescent="0.2">
      <c r="A142" s="86" t="s">
        <v>102</v>
      </c>
      <c r="B142" s="5" t="s">
        <v>281</v>
      </c>
      <c r="C142" s="5" t="s">
        <v>279</v>
      </c>
      <c r="D142" s="5"/>
      <c r="E142" s="7"/>
    </row>
    <row r="143" spans="1:5" x14ac:dyDescent="0.2">
      <c r="A143" s="6">
        <v>0</v>
      </c>
      <c r="B143" s="283">
        <f>procentregulering</f>
        <v>34.464599999999997</v>
      </c>
      <c r="C143" s="284">
        <f>PctRegNiveau</f>
        <v>36616</v>
      </c>
      <c r="D143" s="5"/>
      <c r="E143" s="7"/>
    </row>
    <row r="144" spans="1:5" x14ac:dyDescent="0.2">
      <c r="A144" s="6">
        <v>1</v>
      </c>
      <c r="B144" s="283">
        <f>procentregulering</f>
        <v>34.464599999999997</v>
      </c>
      <c r="C144" s="284">
        <f>PctRegNiveau</f>
        <v>36616</v>
      </c>
      <c r="D144" s="5"/>
      <c r="E144" s="7"/>
    </row>
    <row r="145" spans="1:5" x14ac:dyDescent="0.2">
      <c r="A145" s="6">
        <v>2</v>
      </c>
      <c r="B145" s="283">
        <f>procentregulering</f>
        <v>34.464599999999997</v>
      </c>
      <c r="C145" s="284">
        <f>PctRegNiveau</f>
        <v>36616</v>
      </c>
      <c r="D145" s="5"/>
      <c r="E145" s="7"/>
    </row>
    <row r="146" spans="1:5" x14ac:dyDescent="0.2">
      <c r="A146" s="6">
        <v>3</v>
      </c>
      <c r="B146" s="283">
        <f>ProcentreguleringSund</f>
        <v>17.937200000000001</v>
      </c>
      <c r="C146" s="284">
        <f>PctRegNiveauSund</f>
        <v>38718</v>
      </c>
      <c r="D146" s="5"/>
      <c r="E146" s="7"/>
    </row>
    <row r="147" spans="1:5" x14ac:dyDescent="0.2">
      <c r="A147" s="6">
        <v>4</v>
      </c>
      <c r="B147" s="283">
        <f>ProcentreguleringSund</f>
        <v>17.937200000000001</v>
      </c>
      <c r="C147" s="284">
        <f>PctRegNiveauSund</f>
        <v>38718</v>
      </c>
      <c r="D147" s="5"/>
      <c r="E147" s="7"/>
    </row>
    <row r="148" spans="1:5" x14ac:dyDescent="0.2">
      <c r="A148" s="6">
        <v>5</v>
      </c>
      <c r="B148" s="283">
        <f>ProcentreguleringSund</f>
        <v>17.937200000000001</v>
      </c>
      <c r="C148" s="284">
        <f>PctRegNiveauSund</f>
        <v>38718</v>
      </c>
      <c r="D148" s="5"/>
      <c r="E148" s="7"/>
    </row>
    <row r="149" spans="1:5" x14ac:dyDescent="0.2">
      <c r="A149" s="6">
        <v>6</v>
      </c>
      <c r="B149" s="283">
        <v>0</v>
      </c>
      <c r="C149" s="284">
        <f>PctRegNiveau</f>
        <v>36616</v>
      </c>
      <c r="D149" s="5"/>
      <c r="E149" s="7"/>
    </row>
    <row r="150" spans="1:5" x14ac:dyDescent="0.2">
      <c r="A150" s="8"/>
      <c r="B150" s="9"/>
      <c r="C150" s="9"/>
      <c r="D150" s="9"/>
      <c r="E150" s="85"/>
    </row>
  </sheetData>
  <sheetProtection password="CF28" sheet="1" objects="1" scenarios="1"/>
  <customSheetViews>
    <customSheetView guid="{40555330-83BF-42FA-97D0-8A355A41C0A0}" state="hidden">
      <selection activeCell="B11" sqref="B11"/>
      <pageMargins left="0.75" right="0.75" top="1" bottom="1" header="0" footer="0"/>
      <pageSetup paperSize="9" orientation="portrait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92</vt:i4>
      </vt:variant>
    </vt:vector>
  </HeadingPairs>
  <TitlesOfParts>
    <vt:vector size="103" baseType="lpstr">
      <vt:lpstr>Afgang Tilgang</vt:lpstr>
      <vt:lpstr>Ændring af medarbejders løn</vt:lpstr>
      <vt:lpstr>Timeløn</vt:lpstr>
      <vt:lpstr>Udgiftsberegning</vt:lpstr>
      <vt:lpstr>Puljebelastning</vt:lpstr>
      <vt:lpstr>Nyansættelse af medarbejder</vt:lpstr>
      <vt:lpstr>Beregn tillæg</vt:lpstr>
      <vt:lpstr>lønninger</vt:lpstr>
      <vt:lpstr>SEM</vt:lpstr>
      <vt:lpstr>Diverse</vt:lpstr>
      <vt:lpstr>Vejledning</vt:lpstr>
      <vt:lpstr>'Nyansættelse af medarbejder'!BeskGradNyLøn</vt:lpstr>
      <vt:lpstr>BeskGradNyLøn</vt:lpstr>
      <vt:lpstr>BeskGradNyLøn1</vt:lpstr>
      <vt:lpstr>BeskGradRåd1</vt:lpstr>
      <vt:lpstr>BeskGradRåd2</vt:lpstr>
      <vt:lpstr>BeskGradRåd2Time</vt:lpstr>
      <vt:lpstr>Dato1</vt:lpstr>
      <vt:lpstr>Dato2</vt:lpstr>
      <vt:lpstr>Dato3</vt:lpstr>
      <vt:lpstr>Dato4</vt:lpstr>
      <vt:lpstr>DatoLønind</vt:lpstr>
      <vt:lpstr>DatoLønInd2</vt:lpstr>
      <vt:lpstr>DatoLønindSund</vt:lpstr>
      <vt:lpstr>DatoLønindSund2</vt:lpstr>
      <vt:lpstr>DatoSund1</vt:lpstr>
      <vt:lpstr>DatoSund2</vt:lpstr>
      <vt:lpstr>DatoSund3</vt:lpstr>
      <vt:lpstr>DatoSund4</vt:lpstr>
      <vt:lpstr>FraTil</vt:lpstr>
      <vt:lpstr>JNferiepenge</vt:lpstr>
      <vt:lpstr>JNovergang</vt:lpstr>
      <vt:lpstr>'Nyansættelse af medarbejder'!LønkodeNyLøn</vt:lpstr>
      <vt:lpstr>LønkodeNyLøn</vt:lpstr>
      <vt:lpstr>LønkodeRåd1</vt:lpstr>
      <vt:lpstr>LønkodeRåd2</vt:lpstr>
      <vt:lpstr>LønkodeRåd2Time</vt:lpstr>
      <vt:lpstr>LønkodeTillæg</vt:lpstr>
      <vt:lpstr>LønkodeUd</vt:lpstr>
      <vt:lpstr>LønPr</vt:lpstr>
      <vt:lpstr>LønPrDato</vt:lpstr>
      <vt:lpstr>LønPrStor</vt:lpstr>
      <vt:lpstr>MaksBeløb</vt:lpstr>
      <vt:lpstr>MaxPensionskodeAfgang</vt:lpstr>
      <vt:lpstr>MaxPensionskodeTilgang</vt:lpstr>
      <vt:lpstr>MaxPensionskodeTime</vt:lpstr>
      <vt:lpstr>MaxProcentForvPulje</vt:lpstr>
      <vt:lpstr>NævnerRåd1</vt:lpstr>
      <vt:lpstr>NævnerRåd2</vt:lpstr>
      <vt:lpstr>NævnerRåd2Time</vt:lpstr>
      <vt:lpstr>NævnerUd</vt:lpstr>
      <vt:lpstr>PctRegNiveau</vt:lpstr>
      <vt:lpstr>PctRegNiveauSund</vt:lpstr>
      <vt:lpstr>'Nyansættelse af medarbejder'!PctRegNyLøn</vt:lpstr>
      <vt:lpstr>PctRegNyLøn</vt:lpstr>
      <vt:lpstr>PctRegRåd1</vt:lpstr>
      <vt:lpstr>PctRegRåd2</vt:lpstr>
      <vt:lpstr>PctregTillæg</vt:lpstr>
      <vt:lpstr>PctRegTime</vt:lpstr>
      <vt:lpstr>PctRegUd</vt:lpstr>
      <vt:lpstr>PctRegUdDato</vt:lpstr>
      <vt:lpstr>Pensionsprocentafgang</vt:lpstr>
      <vt:lpstr>'Nyansættelse af medarbejder'!PensionsProcentNyLøn</vt:lpstr>
      <vt:lpstr>PensionsProcentNyLøn</vt:lpstr>
      <vt:lpstr>PensionsProcentTilgang</vt:lpstr>
      <vt:lpstr>PensionsProcentTilgangTime</vt:lpstr>
      <vt:lpstr>PensionsprocentUdgift</vt:lpstr>
      <vt:lpstr>procentregulering</vt:lpstr>
      <vt:lpstr>ProcentreguleringSund</vt:lpstr>
      <vt:lpstr>Puljeår</vt:lpstr>
      <vt:lpstr>StartkolonneAC1</vt:lpstr>
      <vt:lpstr>StartkolonneAC2</vt:lpstr>
      <vt:lpstr>StartkolonneNyLøn</vt:lpstr>
      <vt:lpstr>StartKolonneRåd1</vt:lpstr>
      <vt:lpstr>StartKolonneRåd2</vt:lpstr>
      <vt:lpstr>StartKolonneRåd2Time</vt:lpstr>
      <vt:lpstr>StartkolonneStandard</vt:lpstr>
      <vt:lpstr>StartkolonneSundAlm</vt:lpstr>
      <vt:lpstr>StartkolonneSundLeder</vt:lpstr>
      <vt:lpstr>StartKolonneUdLøn</vt:lpstr>
      <vt:lpstr>TabelLøn</vt:lpstr>
      <vt:lpstr>TabelLønninger</vt:lpstr>
      <vt:lpstr>TabelLøntabel</vt:lpstr>
      <vt:lpstr>TabelNettoløn</vt:lpstr>
      <vt:lpstr>tabeloverenskomstnr</vt:lpstr>
      <vt:lpstr>TabelPctReg</vt:lpstr>
      <vt:lpstr>TabelPensgivLøn</vt:lpstr>
      <vt:lpstr>TabelPuljePension</vt:lpstr>
      <vt:lpstr>TabelRammeforbrug</vt:lpstr>
      <vt:lpstr>Tabelændringskode</vt:lpstr>
      <vt:lpstr>'Nyansættelse af medarbejder'!TællerNyLøn</vt:lpstr>
      <vt:lpstr>TællerNyLøn</vt:lpstr>
      <vt:lpstr>TællerRåd1</vt:lpstr>
      <vt:lpstr>TællerRåd2</vt:lpstr>
      <vt:lpstr>TællerRåd2Time</vt:lpstr>
      <vt:lpstr>TællerUd</vt:lpstr>
      <vt:lpstr>'Afgang Tilgang'!Udskriftsområde</vt:lpstr>
      <vt:lpstr>'Nyansættelse af medarbejder'!Udskriftsområde</vt:lpstr>
      <vt:lpstr>Puljebelastning!Udskriftsområde</vt:lpstr>
      <vt:lpstr>Timeløn!Udskriftsområde</vt:lpstr>
      <vt:lpstr>'Ændring af medarbejders løn'!Udskriftsområde</vt:lpstr>
      <vt:lpstr>Puljebelastning!Udskriftstitler</vt:lpstr>
      <vt:lpstr>UdskrivLinie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Sv.E. Madsen</dc:creator>
  <cp:lastModifiedBy>jhn</cp:lastModifiedBy>
  <cp:lastPrinted>2017-01-31T11:46:39Z</cp:lastPrinted>
  <dcterms:created xsi:type="dcterms:W3CDTF">2000-11-08T14:03:43Z</dcterms:created>
  <dcterms:modified xsi:type="dcterms:W3CDTF">2017-03-13T07:38:38Z</dcterms:modified>
</cp:coreProperties>
</file>