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15" windowWidth="11340" windowHeight="6540" tabRatio="656"/>
  </bookViews>
  <sheets>
    <sheet name="Resume" sheetId="16" r:id="rId1"/>
    <sheet name="Vejledning" sheetId="4" r:id="rId2"/>
    <sheet name="Jan" sheetId="5" r:id="rId3"/>
    <sheet name="Feb" sheetId="1" r:id="rId4"/>
    <sheet name="Mar" sheetId="18" r:id="rId5"/>
    <sheet name="Apr" sheetId="19" r:id="rId6"/>
    <sheet name="Maj" sheetId="20" r:id="rId7"/>
    <sheet name="Jun" sheetId="21" r:id="rId8"/>
    <sheet name="Jul" sheetId="22" r:id="rId9"/>
    <sheet name="Aug" sheetId="24" r:id="rId10"/>
    <sheet name="Sep" sheetId="23" r:id="rId11"/>
    <sheet name="Okt" sheetId="25" r:id="rId12"/>
    <sheet name="Nov" sheetId="26" r:id="rId13"/>
    <sheet name="Dec" sheetId="27" r:id="rId14"/>
    <sheet name="Nøgletal" sheetId="17" r:id="rId15"/>
  </sheets>
  <definedNames>
    <definedName name="Fredagsfrokost">Resume!$H$5</definedName>
    <definedName name="InputUge">Resume!$AA$8:$AD$15</definedName>
    <definedName name="måned">Nøgletal!$B$4</definedName>
    <definedName name="_xlnm.Print_Area" localSheetId="5">Apr!$H$1:$AY$44</definedName>
    <definedName name="_xlnm.Print_Area" localSheetId="9">Aug!$H$1:$AY$44</definedName>
    <definedName name="_xlnm.Print_Area" localSheetId="13">Dec!$H$1:$BH$44</definedName>
    <definedName name="_xlnm.Print_Area" localSheetId="3">Feb!$H$1:$AY$42</definedName>
    <definedName name="_xlnm.Print_Area" localSheetId="2">Jan!$A$1:$BM$44</definedName>
    <definedName name="_xlnm.Print_Area" localSheetId="8">Jul!$H$1:$AY$44</definedName>
    <definedName name="_xlnm.Print_Area" localSheetId="7">Jun!$H$1:$AY$43</definedName>
    <definedName name="_xlnm.Print_Area" localSheetId="6">Maj!$H$1:$AY$44</definedName>
    <definedName name="_xlnm.Print_Area" localSheetId="4">Mar!$H$1:$AY$44</definedName>
    <definedName name="_xlnm.Print_Area" localSheetId="12">Nov!$H$1:$AY$43</definedName>
    <definedName name="_xlnm.Print_Area" localSheetId="11">Okt!$H$1:$AY$44</definedName>
    <definedName name="_xlnm.Print_Area" localSheetId="0">Resume!$G$1:$AF$47</definedName>
    <definedName name="_xlnm.Print_Area" localSheetId="10">Sep!$H$1:$AY$43</definedName>
  </definedNames>
  <calcPr calcId="145621"/>
</workbook>
</file>

<file path=xl/calcChain.xml><?xml version="1.0" encoding="utf-8"?>
<calcChain xmlns="http://schemas.openxmlformats.org/spreadsheetml/2006/main">
  <c r="G24" i="27" l="1"/>
  <c r="G39" i="27"/>
  <c r="G34" i="27"/>
  <c r="G38" i="27"/>
  <c r="L39" i="27"/>
  <c r="M39" i="27"/>
  <c r="N39" i="27"/>
  <c r="O39" i="27"/>
  <c r="CD39" i="27"/>
  <c r="CE39" i="27"/>
  <c r="M38" i="27"/>
  <c r="N38" i="27"/>
  <c r="O38" i="27"/>
  <c r="P38" i="27"/>
  <c r="CD38" i="27"/>
  <c r="CE38" i="27"/>
  <c r="L38" i="27"/>
  <c r="L34" i="27"/>
  <c r="B33" i="27"/>
  <c r="B34" i="27"/>
  <c r="B32" i="27"/>
  <c r="L33" i="27"/>
  <c r="M33" i="27"/>
  <c r="N33" i="27"/>
  <c r="O33" i="27"/>
  <c r="P33" i="27"/>
  <c r="L32" i="27"/>
  <c r="G31" i="27"/>
  <c r="B37" i="27"/>
  <c r="B36" i="27"/>
  <c r="B30" i="27"/>
  <c r="B29" i="27"/>
  <c r="B23" i="27"/>
  <c r="B22" i="27"/>
  <c r="B16" i="27"/>
  <c r="B15" i="27"/>
  <c r="B10" i="27"/>
  <c r="B9" i="27"/>
  <c r="M35" i="27"/>
  <c r="N35" i="27"/>
  <c r="O35" i="27"/>
  <c r="P35" i="27"/>
  <c r="CD35" i="27"/>
  <c r="CE35" i="27"/>
  <c r="L35" i="27"/>
  <c r="M31" i="27"/>
  <c r="N31" i="27"/>
  <c r="O31" i="27"/>
  <c r="P31" i="27"/>
  <c r="CD31" i="27"/>
  <c r="CE31" i="27"/>
  <c r="L31" i="27"/>
  <c r="N28" i="27"/>
  <c r="O28" i="27"/>
  <c r="P28" i="27"/>
  <c r="M28" i="27"/>
  <c r="L28" i="27"/>
  <c r="L27" i="27"/>
  <c r="M27" i="27"/>
  <c r="N27" i="27"/>
  <c r="O27" i="27"/>
  <c r="P27" i="27"/>
  <c r="CD27" i="27"/>
  <c r="CE27" i="27"/>
  <c r="L26" i="27"/>
  <c r="M25" i="27"/>
  <c r="L25" i="27"/>
  <c r="N25" i="27"/>
  <c r="O25" i="27"/>
  <c r="P25" i="27"/>
  <c r="N24" i="27"/>
  <c r="O24" i="27"/>
  <c r="P24" i="27"/>
  <c r="CD24" i="27"/>
  <c r="CE24" i="27"/>
  <c r="M24" i="27"/>
  <c r="L24" i="27"/>
  <c r="M21" i="27"/>
  <c r="N21" i="27"/>
  <c r="O21" i="27"/>
  <c r="P21" i="27"/>
  <c r="CD21" i="27"/>
  <c r="CE21" i="27"/>
  <c r="L21" i="27"/>
  <c r="L20" i="27"/>
  <c r="M20" i="27"/>
  <c r="N20" i="27"/>
  <c r="O20" i="27"/>
  <c r="P20" i="27"/>
  <c r="CD20" i="27"/>
  <c r="CE20" i="27"/>
  <c r="L19" i="27"/>
  <c r="M18" i="27"/>
  <c r="L18" i="27"/>
  <c r="N18" i="27"/>
  <c r="O18" i="27"/>
  <c r="P18" i="27"/>
  <c r="N17" i="27"/>
  <c r="O17" i="27"/>
  <c r="P17" i="27"/>
  <c r="CD17" i="27"/>
  <c r="CE17" i="27"/>
  <c r="M17" i="27"/>
  <c r="L17" i="27"/>
  <c r="M14" i="27"/>
  <c r="L14" i="27"/>
  <c r="N14" i="27"/>
  <c r="O14" i="27"/>
  <c r="P14" i="27"/>
  <c r="CD14" i="27"/>
  <c r="CE14" i="27"/>
  <c r="L13" i="27"/>
  <c r="M13" i="27"/>
  <c r="N13" i="27"/>
  <c r="O13" i="27"/>
  <c r="P13" i="27"/>
  <c r="CD13" i="27"/>
  <c r="CE13" i="27"/>
  <c r="L12" i="27"/>
  <c r="L11" i="27"/>
  <c r="M10" i="27"/>
  <c r="N10" i="27"/>
  <c r="O10" i="27"/>
  <c r="P10" i="27"/>
  <c r="CD10" i="27"/>
  <c r="CE10" i="27"/>
  <c r="L10" i="27"/>
  <c r="M9" i="26"/>
  <c r="N9" i="26"/>
  <c r="O9" i="26"/>
  <c r="P9" i="26"/>
  <c r="L9" i="26"/>
  <c r="M16" i="26"/>
  <c r="N16" i="26"/>
  <c r="O16" i="26"/>
  <c r="P16" i="26"/>
  <c r="L16" i="26"/>
  <c r="L15" i="26"/>
  <c r="M15" i="26"/>
  <c r="O12" i="26"/>
  <c r="P12" i="26"/>
  <c r="BM12" i="26"/>
  <c r="BN12" i="26"/>
  <c r="N12" i="26"/>
  <c r="M12" i="26"/>
  <c r="L12" i="26"/>
  <c r="G12" i="26"/>
  <c r="G19" i="26"/>
  <c r="G26" i="26"/>
  <c r="G33" i="26"/>
  <c r="M37" i="26"/>
  <c r="N37" i="26"/>
  <c r="O37" i="26"/>
  <c r="P37" i="26"/>
  <c r="BM37" i="26"/>
  <c r="BN37" i="26"/>
  <c r="L37" i="26"/>
  <c r="L36" i="26"/>
  <c r="M36" i="26"/>
  <c r="N36" i="26"/>
  <c r="O36" i="26"/>
  <c r="P36" i="26"/>
  <c r="BM36" i="26"/>
  <c r="BN36" i="26"/>
  <c r="L35" i="26"/>
  <c r="M34" i="26"/>
  <c r="L34" i="26"/>
  <c r="N34" i="26"/>
  <c r="O34" i="26"/>
  <c r="P34" i="26"/>
  <c r="BM34" i="26"/>
  <c r="BN34" i="26"/>
  <c r="N33" i="26"/>
  <c r="O33" i="26"/>
  <c r="P33" i="26"/>
  <c r="BM33" i="26"/>
  <c r="BN33" i="26"/>
  <c r="M33" i="26"/>
  <c r="L33" i="26"/>
  <c r="M30" i="26"/>
  <c r="N30" i="26"/>
  <c r="O30" i="26"/>
  <c r="P30" i="26"/>
  <c r="BM30" i="26"/>
  <c r="BN30" i="26"/>
  <c r="L30" i="26"/>
  <c r="L29" i="26"/>
  <c r="M29" i="26"/>
  <c r="L28" i="26"/>
  <c r="L27" i="26"/>
  <c r="M26" i="26"/>
  <c r="N26" i="26"/>
  <c r="O26" i="26"/>
  <c r="P26" i="26"/>
  <c r="BM26" i="26"/>
  <c r="BN26" i="26"/>
  <c r="L26" i="26"/>
  <c r="M23" i="26"/>
  <c r="N23" i="26"/>
  <c r="O23" i="26"/>
  <c r="P23" i="26"/>
  <c r="BM23" i="26"/>
  <c r="BN23" i="26"/>
  <c r="L23" i="26"/>
  <c r="L22" i="26"/>
  <c r="M22" i="26"/>
  <c r="N22" i="26"/>
  <c r="O22" i="26"/>
  <c r="P22" i="26"/>
  <c r="BM22" i="26"/>
  <c r="BN22" i="26"/>
  <c r="L21" i="26"/>
  <c r="L20" i="26"/>
  <c r="M19" i="26"/>
  <c r="N19" i="26"/>
  <c r="O19" i="26"/>
  <c r="P19" i="26"/>
  <c r="BM19" i="26"/>
  <c r="BN19" i="26"/>
  <c r="L19" i="26"/>
  <c r="G36" i="25"/>
  <c r="G15" i="25"/>
  <c r="G22" i="25"/>
  <c r="G29" i="25"/>
  <c r="M36" i="25"/>
  <c r="N36" i="25"/>
  <c r="O36" i="25"/>
  <c r="P36" i="25"/>
  <c r="BM36" i="25"/>
  <c r="BN36" i="25"/>
  <c r="L36" i="25"/>
  <c r="L33" i="25"/>
  <c r="M33" i="25"/>
  <c r="N33" i="25"/>
  <c r="O33" i="25"/>
  <c r="P33" i="25"/>
  <c r="BM33" i="25"/>
  <c r="BN33" i="25"/>
  <c r="L32" i="25"/>
  <c r="M32" i="25"/>
  <c r="L31" i="25"/>
  <c r="M30" i="25"/>
  <c r="N30" i="25"/>
  <c r="O30" i="25"/>
  <c r="P30" i="25"/>
  <c r="BM30" i="25"/>
  <c r="BN30" i="25"/>
  <c r="L30" i="25"/>
  <c r="N29" i="25"/>
  <c r="O29" i="25"/>
  <c r="P29" i="25"/>
  <c r="BM29" i="25"/>
  <c r="BN29" i="25"/>
  <c r="M29" i="25"/>
  <c r="L29" i="25"/>
  <c r="M26" i="25"/>
  <c r="N26" i="25"/>
  <c r="O26" i="25"/>
  <c r="P26" i="25"/>
  <c r="BM26" i="25"/>
  <c r="BN26" i="25"/>
  <c r="L26" i="25"/>
  <c r="L25" i="25"/>
  <c r="M25" i="25"/>
  <c r="N25" i="25"/>
  <c r="O25" i="25"/>
  <c r="P25" i="25"/>
  <c r="BM25" i="25"/>
  <c r="BN25" i="25"/>
  <c r="L24" i="25"/>
  <c r="L23" i="25"/>
  <c r="M22" i="25"/>
  <c r="N22" i="25"/>
  <c r="O22" i="25"/>
  <c r="P22" i="25"/>
  <c r="BM22" i="25"/>
  <c r="BN22" i="25"/>
  <c r="L22" i="25"/>
  <c r="N19" i="25"/>
  <c r="O19" i="25"/>
  <c r="P19" i="25"/>
  <c r="BM19" i="25"/>
  <c r="BN19" i="25"/>
  <c r="M19" i="25"/>
  <c r="L19" i="25"/>
  <c r="L18" i="25"/>
  <c r="M18" i="25"/>
  <c r="N18" i="25"/>
  <c r="O18" i="25"/>
  <c r="P18" i="25"/>
  <c r="BM18" i="25"/>
  <c r="BN18" i="25"/>
  <c r="L17" i="25"/>
  <c r="M16" i="25"/>
  <c r="L16" i="25"/>
  <c r="N16" i="25"/>
  <c r="O16" i="25"/>
  <c r="P16" i="25"/>
  <c r="BM16" i="25"/>
  <c r="BN16" i="25"/>
  <c r="N15" i="25"/>
  <c r="O15" i="25"/>
  <c r="P15" i="25"/>
  <c r="BM15" i="25"/>
  <c r="BN15" i="25"/>
  <c r="M15" i="25"/>
  <c r="L15" i="25"/>
  <c r="L38" i="23"/>
  <c r="M38" i="23"/>
  <c r="N38" i="23"/>
  <c r="O38" i="23"/>
  <c r="P38" i="23"/>
  <c r="BM38" i="23"/>
  <c r="BN38" i="23"/>
  <c r="G38" i="23"/>
  <c r="L35" i="23"/>
  <c r="M34" i="23"/>
  <c r="L34" i="23"/>
  <c r="N34" i="23"/>
  <c r="O34" i="23"/>
  <c r="P34" i="23"/>
  <c r="BM34" i="23"/>
  <c r="BN34" i="23"/>
  <c r="M31" i="23"/>
  <c r="N31" i="23"/>
  <c r="O31" i="23"/>
  <c r="P31" i="23"/>
  <c r="BM31" i="23"/>
  <c r="BN31" i="23"/>
  <c r="L31" i="23"/>
  <c r="L24" i="23"/>
  <c r="M24" i="23"/>
  <c r="N24" i="23"/>
  <c r="O24" i="23"/>
  <c r="P24" i="23"/>
  <c r="BM24" i="23"/>
  <c r="BN24" i="23"/>
  <c r="L17" i="23"/>
  <c r="BM29" i="23"/>
  <c r="BN29" i="23"/>
  <c r="L28" i="23"/>
  <c r="M28" i="23"/>
  <c r="L27" i="23"/>
  <c r="M26" i="23"/>
  <c r="N26" i="23"/>
  <c r="O26" i="23"/>
  <c r="P26" i="23"/>
  <c r="BM26" i="23"/>
  <c r="BN26" i="23"/>
  <c r="L26" i="23"/>
  <c r="L25" i="23"/>
  <c r="M25" i="23"/>
  <c r="N25" i="23"/>
  <c r="O25" i="23"/>
  <c r="P25" i="23"/>
  <c r="BM25" i="23"/>
  <c r="BN25" i="23"/>
  <c r="G24" i="23"/>
  <c r="G31" i="23"/>
  <c r="G10" i="23"/>
  <c r="G17" i="23"/>
  <c r="M10" i="23"/>
  <c r="N10" i="23"/>
  <c r="O10" i="23"/>
  <c r="P10" i="23"/>
  <c r="BM10" i="23"/>
  <c r="BN10" i="23"/>
  <c r="L10" i="23"/>
  <c r="G20" i="24"/>
  <c r="G27" i="24"/>
  <c r="G34" i="24"/>
  <c r="G13" i="24"/>
  <c r="L38" i="24"/>
  <c r="M38" i="24"/>
  <c r="N38" i="24"/>
  <c r="O38" i="24"/>
  <c r="P38" i="24"/>
  <c r="BM38" i="24"/>
  <c r="BN38" i="24"/>
  <c r="L37" i="24"/>
  <c r="M37" i="24"/>
  <c r="L36" i="24"/>
  <c r="M35" i="24"/>
  <c r="L35" i="24"/>
  <c r="N35" i="24"/>
  <c r="O35" i="24"/>
  <c r="P35" i="24"/>
  <c r="BM35" i="24"/>
  <c r="BN35" i="24"/>
  <c r="N34" i="24"/>
  <c r="O34" i="24"/>
  <c r="P34" i="24"/>
  <c r="BM34" i="24"/>
  <c r="BN34" i="24"/>
  <c r="M34" i="24"/>
  <c r="L34" i="24"/>
  <c r="M31" i="24"/>
  <c r="L31" i="24"/>
  <c r="N31" i="24"/>
  <c r="O31" i="24"/>
  <c r="P31" i="24"/>
  <c r="BM31" i="24"/>
  <c r="BN31" i="24"/>
  <c r="L30" i="24"/>
  <c r="M30" i="24"/>
  <c r="N30" i="24"/>
  <c r="O30" i="24"/>
  <c r="P30" i="24"/>
  <c r="BM30" i="24"/>
  <c r="BN30" i="24"/>
  <c r="O29" i="24"/>
  <c r="P29" i="24"/>
  <c r="BM29" i="24"/>
  <c r="BN29" i="24"/>
  <c r="N29" i="24"/>
  <c r="M29" i="24"/>
  <c r="L29" i="24"/>
  <c r="L28" i="24"/>
  <c r="M27" i="24"/>
  <c r="L27" i="24"/>
  <c r="N27" i="24"/>
  <c r="O27" i="24"/>
  <c r="P27" i="24"/>
  <c r="BM27" i="24"/>
  <c r="BN27" i="24"/>
  <c r="L24" i="24"/>
  <c r="M24" i="24"/>
  <c r="N24" i="24"/>
  <c r="O24" i="24"/>
  <c r="P24" i="24"/>
  <c r="BM24" i="24"/>
  <c r="BN24" i="24"/>
  <c r="L23" i="24"/>
  <c r="L22" i="24"/>
  <c r="M21" i="24"/>
  <c r="L21" i="24"/>
  <c r="N21" i="24"/>
  <c r="O21" i="24"/>
  <c r="P21" i="24"/>
  <c r="BM21" i="24"/>
  <c r="BN21" i="24"/>
  <c r="N20" i="24"/>
  <c r="O20" i="24"/>
  <c r="P20" i="24"/>
  <c r="BM20" i="24"/>
  <c r="BN20" i="24"/>
  <c r="M20" i="24"/>
  <c r="L20" i="24"/>
  <c r="M17" i="24"/>
  <c r="L17" i="24"/>
  <c r="N17" i="24"/>
  <c r="O17" i="24"/>
  <c r="P17" i="24"/>
  <c r="BM17" i="24"/>
  <c r="BN17" i="24"/>
  <c r="L16" i="24"/>
  <c r="M16" i="24"/>
  <c r="M15" i="24"/>
  <c r="N15" i="24"/>
  <c r="O15" i="24"/>
  <c r="P15" i="24"/>
  <c r="BM15" i="24"/>
  <c r="BN15" i="24"/>
  <c r="L15" i="24"/>
  <c r="L14" i="24"/>
  <c r="M13" i="24"/>
  <c r="L13" i="24"/>
  <c r="N13" i="24"/>
  <c r="O13" i="24"/>
  <c r="P13" i="24"/>
  <c r="BM13" i="24"/>
  <c r="BN13" i="24"/>
  <c r="G37" i="22"/>
  <c r="G9" i="22"/>
  <c r="L37" i="22"/>
  <c r="M37" i="22"/>
  <c r="N37" i="22"/>
  <c r="O37" i="22"/>
  <c r="P37" i="22"/>
  <c r="BM37" i="22"/>
  <c r="BN37" i="22"/>
  <c r="M34" i="22"/>
  <c r="N34" i="22"/>
  <c r="O34" i="22"/>
  <c r="P34" i="22"/>
  <c r="BM34" i="22"/>
  <c r="BN34" i="22"/>
  <c r="L34" i="22"/>
  <c r="N33" i="22"/>
  <c r="O33" i="22"/>
  <c r="P33" i="22"/>
  <c r="BM33" i="22"/>
  <c r="BN33" i="22"/>
  <c r="M33" i="22"/>
  <c r="L33" i="22"/>
  <c r="L32" i="22"/>
  <c r="L31" i="22"/>
  <c r="M30" i="22"/>
  <c r="N30" i="22"/>
  <c r="O30" i="22"/>
  <c r="P30" i="22"/>
  <c r="BM30" i="22"/>
  <c r="BN30" i="22"/>
  <c r="L30" i="22"/>
  <c r="M27" i="22"/>
  <c r="N27" i="22"/>
  <c r="O27" i="22"/>
  <c r="P27" i="22"/>
  <c r="BM27" i="22"/>
  <c r="BN27" i="22"/>
  <c r="L27" i="22"/>
  <c r="L26" i="22"/>
  <c r="M26" i="22"/>
  <c r="N26" i="22"/>
  <c r="O26" i="22"/>
  <c r="P26" i="22"/>
  <c r="BM26" i="22"/>
  <c r="BN26" i="22"/>
  <c r="M25" i="22"/>
  <c r="L25" i="22"/>
  <c r="L24" i="22"/>
  <c r="M23" i="22"/>
  <c r="N23" i="22"/>
  <c r="O23" i="22"/>
  <c r="P23" i="22"/>
  <c r="BM23" i="22"/>
  <c r="BN23" i="22"/>
  <c r="L23" i="22"/>
  <c r="M20" i="22"/>
  <c r="N20" i="22"/>
  <c r="O20" i="22"/>
  <c r="P20" i="22"/>
  <c r="BM20" i="22"/>
  <c r="BN20" i="22"/>
  <c r="L20" i="22"/>
  <c r="L19" i="22"/>
  <c r="M19" i="22"/>
  <c r="M18" i="22"/>
  <c r="L18" i="22"/>
  <c r="N18" i="22"/>
  <c r="O18" i="22"/>
  <c r="P18" i="22"/>
  <c r="BM18" i="22"/>
  <c r="BN18" i="22"/>
  <c r="L17" i="22"/>
  <c r="M16" i="22"/>
  <c r="N16" i="22"/>
  <c r="O16" i="22"/>
  <c r="P16" i="22"/>
  <c r="BM16" i="22"/>
  <c r="BN16" i="22"/>
  <c r="L16" i="22"/>
  <c r="M13" i="22"/>
  <c r="N13" i="22"/>
  <c r="O13" i="22"/>
  <c r="P13" i="22"/>
  <c r="BM13" i="22"/>
  <c r="BN13" i="22"/>
  <c r="L13" i="22"/>
  <c r="N12" i="22"/>
  <c r="O12" i="22"/>
  <c r="P12" i="22"/>
  <c r="BM12" i="22"/>
  <c r="BN12" i="22"/>
  <c r="M12" i="22"/>
  <c r="L12" i="22"/>
  <c r="L11" i="22"/>
  <c r="L10" i="22"/>
  <c r="M9" i="22"/>
  <c r="N9" i="22"/>
  <c r="O9" i="22"/>
  <c r="P9" i="22"/>
  <c r="BM9" i="22"/>
  <c r="BN9" i="22"/>
  <c r="L9" i="22"/>
  <c r="L36" i="21"/>
  <c r="M36" i="21"/>
  <c r="N36" i="21"/>
  <c r="O36" i="21"/>
  <c r="P36" i="21"/>
  <c r="L35" i="21"/>
  <c r="M29" i="21"/>
  <c r="N29" i="21"/>
  <c r="O29" i="21"/>
  <c r="P29" i="21"/>
  <c r="BM29" i="21"/>
  <c r="BN29" i="21"/>
  <c r="L29" i="21"/>
  <c r="L28" i="21"/>
  <c r="M28" i="21"/>
  <c r="N34" i="21"/>
  <c r="O34" i="21"/>
  <c r="P34" i="21"/>
  <c r="BM34" i="21"/>
  <c r="BN34" i="21"/>
  <c r="M34" i="21"/>
  <c r="L34" i="21"/>
  <c r="O33" i="21"/>
  <c r="P33" i="21"/>
  <c r="BM33" i="21"/>
  <c r="BN33" i="21"/>
  <c r="N33" i="21"/>
  <c r="M33" i="21"/>
  <c r="L33" i="21"/>
  <c r="L32" i="21"/>
  <c r="L25" i="21"/>
  <c r="M25" i="21"/>
  <c r="N25" i="21"/>
  <c r="O25" i="21"/>
  <c r="P25" i="21"/>
  <c r="BM25" i="21"/>
  <c r="BN25" i="21"/>
  <c r="M22" i="21"/>
  <c r="L22" i="21"/>
  <c r="N22" i="21"/>
  <c r="O22" i="21"/>
  <c r="P22" i="21"/>
  <c r="BM22" i="21"/>
  <c r="BN22" i="21"/>
  <c r="L21" i="21"/>
  <c r="M21" i="21"/>
  <c r="M20" i="21"/>
  <c r="N20" i="21"/>
  <c r="O20" i="21"/>
  <c r="P20" i="21"/>
  <c r="BM20" i="21"/>
  <c r="BN20" i="21"/>
  <c r="L20" i="21"/>
  <c r="L19" i="21"/>
  <c r="M19" i="21"/>
  <c r="N19" i="21"/>
  <c r="O19" i="21"/>
  <c r="P19" i="21"/>
  <c r="BM19" i="21"/>
  <c r="BN19" i="21"/>
  <c r="M18" i="21"/>
  <c r="L18" i="21"/>
  <c r="N18" i="21"/>
  <c r="O18" i="21"/>
  <c r="P18" i="21"/>
  <c r="BM18" i="21"/>
  <c r="BN18" i="21"/>
  <c r="M15" i="21"/>
  <c r="L15" i="21"/>
  <c r="N15" i="21"/>
  <c r="O15" i="21"/>
  <c r="P15" i="21"/>
  <c r="BM15" i="21"/>
  <c r="BN15" i="21"/>
  <c r="L14" i="21"/>
  <c r="M14" i="21"/>
  <c r="N11" i="21"/>
  <c r="O11" i="21"/>
  <c r="P11" i="21"/>
  <c r="BM11" i="21"/>
  <c r="BN11" i="21"/>
  <c r="M11" i="21"/>
  <c r="L11" i="21"/>
  <c r="B10" i="21"/>
  <c r="L17" i="20"/>
  <c r="P28" i="20"/>
  <c r="BM28" i="20"/>
  <c r="BN28" i="20"/>
  <c r="G14" i="20"/>
  <c r="L39" i="20"/>
  <c r="L38" i="20"/>
  <c r="M38" i="20"/>
  <c r="M37" i="20"/>
  <c r="N37" i="20"/>
  <c r="O37" i="20"/>
  <c r="P37" i="20"/>
  <c r="BM37" i="20"/>
  <c r="BN37" i="20"/>
  <c r="L37" i="20"/>
  <c r="N36" i="20"/>
  <c r="O36" i="20"/>
  <c r="P36" i="20"/>
  <c r="BM36" i="20"/>
  <c r="BN36" i="20"/>
  <c r="M36" i="20"/>
  <c r="L36" i="20"/>
  <c r="L35" i="20"/>
  <c r="M32" i="20"/>
  <c r="N32" i="20"/>
  <c r="O32" i="20"/>
  <c r="P32" i="20"/>
  <c r="BM32" i="20"/>
  <c r="BN32" i="20"/>
  <c r="L32" i="20"/>
  <c r="N31" i="20"/>
  <c r="O31" i="20"/>
  <c r="P31" i="20"/>
  <c r="BM31" i="20"/>
  <c r="BN31" i="20"/>
  <c r="M31" i="20"/>
  <c r="L31" i="20"/>
  <c r="L30" i="20"/>
  <c r="L29" i="20"/>
  <c r="M29" i="20"/>
  <c r="M25" i="20"/>
  <c r="N25" i="20"/>
  <c r="O25" i="20"/>
  <c r="P25" i="20"/>
  <c r="BM25" i="20"/>
  <c r="BN25" i="20"/>
  <c r="L25" i="20"/>
  <c r="L24" i="20"/>
  <c r="M24" i="20"/>
  <c r="M23" i="20"/>
  <c r="L23" i="20"/>
  <c r="N23" i="20"/>
  <c r="O23" i="20"/>
  <c r="P23" i="20"/>
  <c r="BM23" i="20"/>
  <c r="BN23" i="20"/>
  <c r="L22" i="20"/>
  <c r="M22" i="20"/>
  <c r="N22" i="20"/>
  <c r="O22" i="20"/>
  <c r="P22" i="20"/>
  <c r="BM22" i="20"/>
  <c r="BN22" i="20"/>
  <c r="M21" i="20"/>
  <c r="N21" i="20"/>
  <c r="O21" i="20"/>
  <c r="P21" i="20"/>
  <c r="BM21" i="20"/>
  <c r="BN21" i="20"/>
  <c r="L21" i="20"/>
  <c r="M14" i="20"/>
  <c r="N14" i="20"/>
  <c r="O14" i="20"/>
  <c r="P14" i="20"/>
  <c r="BM14" i="20"/>
  <c r="BN14" i="20"/>
  <c r="L14" i="20"/>
  <c r="M11" i="20"/>
  <c r="N11" i="20"/>
  <c r="O11" i="20"/>
  <c r="P11" i="20"/>
  <c r="BM11" i="20"/>
  <c r="BN11" i="20"/>
  <c r="L11" i="20"/>
  <c r="L10" i="20"/>
  <c r="M9" i="20"/>
  <c r="N9" i="20"/>
  <c r="O9" i="20"/>
  <c r="P9" i="20"/>
  <c r="BM9" i="20"/>
  <c r="BN9" i="20"/>
  <c r="L9" i="20"/>
  <c r="G9" i="20"/>
  <c r="B9" i="20"/>
  <c r="L38" i="19"/>
  <c r="M38" i="19"/>
  <c r="N38" i="19"/>
  <c r="O38" i="19"/>
  <c r="P38" i="19"/>
  <c r="BM38" i="19"/>
  <c r="BN38" i="19"/>
  <c r="L37" i="19"/>
  <c r="M37" i="19"/>
  <c r="N37" i="19"/>
  <c r="O37" i="19"/>
  <c r="P37" i="19"/>
  <c r="BM37" i="19"/>
  <c r="BN37" i="19"/>
  <c r="L34" i="19"/>
  <c r="L33" i="19"/>
  <c r="L32" i="19"/>
  <c r="L31" i="19"/>
  <c r="M31" i="19"/>
  <c r="N31" i="19"/>
  <c r="O31" i="19"/>
  <c r="P31" i="19"/>
  <c r="BM31" i="19"/>
  <c r="BN31" i="19"/>
  <c r="L30" i="19"/>
  <c r="N27" i="19"/>
  <c r="O27" i="19"/>
  <c r="P27" i="19"/>
  <c r="BM27" i="19"/>
  <c r="BN27" i="19"/>
  <c r="M27" i="19"/>
  <c r="L27" i="19"/>
  <c r="L26" i="19"/>
  <c r="M26" i="19"/>
  <c r="N26" i="19"/>
  <c r="O26" i="19"/>
  <c r="P26" i="19"/>
  <c r="BM26" i="19"/>
  <c r="BN26" i="19"/>
  <c r="L25" i="19"/>
  <c r="L24" i="19"/>
  <c r="L23" i="19"/>
  <c r="M23" i="19"/>
  <c r="N23" i="19"/>
  <c r="O23" i="19"/>
  <c r="P23" i="19"/>
  <c r="BM23" i="19"/>
  <c r="BN23" i="19"/>
  <c r="L20" i="19"/>
  <c r="M20" i="19"/>
  <c r="N20" i="19"/>
  <c r="O20" i="19"/>
  <c r="P20" i="19"/>
  <c r="BM20" i="19"/>
  <c r="BN20" i="19"/>
  <c r="L19" i="19"/>
  <c r="L18" i="19"/>
  <c r="M17" i="19"/>
  <c r="L17" i="19"/>
  <c r="N16" i="19"/>
  <c r="O16" i="19"/>
  <c r="P16" i="19"/>
  <c r="BM16" i="19"/>
  <c r="BN16" i="19"/>
  <c r="M16" i="19"/>
  <c r="L16" i="19"/>
  <c r="M13" i="19"/>
  <c r="L13" i="19"/>
  <c r="N13" i="19"/>
  <c r="O13" i="19"/>
  <c r="P13" i="19"/>
  <c r="BM13" i="19"/>
  <c r="BN13" i="19"/>
  <c r="G38" i="19"/>
  <c r="G37" i="19"/>
  <c r="G34" i="19"/>
  <c r="G33" i="19"/>
  <c r="G32" i="19"/>
  <c r="G31" i="19"/>
  <c r="G30" i="19"/>
  <c r="G27" i="19"/>
  <c r="G26" i="19"/>
  <c r="G25" i="19"/>
  <c r="G24" i="19"/>
  <c r="G23" i="19"/>
  <c r="G20" i="19"/>
  <c r="G19" i="19"/>
  <c r="G18" i="19"/>
  <c r="G17" i="19"/>
  <c r="G16" i="19"/>
  <c r="G13" i="19"/>
  <c r="B36" i="19"/>
  <c r="B35" i="19"/>
  <c r="B29" i="19"/>
  <c r="B28" i="19"/>
  <c r="B22" i="19"/>
  <c r="B21" i="19"/>
  <c r="B16" i="19"/>
  <c r="B15" i="19"/>
  <c r="B14" i="19"/>
  <c r="B13" i="19"/>
  <c r="L9" i="19"/>
  <c r="M9" i="19"/>
  <c r="N9" i="19"/>
  <c r="O9" i="19"/>
  <c r="P9" i="19"/>
  <c r="BM9" i="19"/>
  <c r="BN9" i="19"/>
  <c r="N37" i="18"/>
  <c r="O37" i="18"/>
  <c r="P37" i="18"/>
  <c r="BM37" i="18"/>
  <c r="BN37" i="18"/>
  <c r="M37" i="18"/>
  <c r="L37" i="18"/>
  <c r="L36" i="18"/>
  <c r="M36" i="18"/>
  <c r="N36" i="18"/>
  <c r="O36" i="18"/>
  <c r="P36" i="18"/>
  <c r="BM36" i="18"/>
  <c r="BN36" i="18"/>
  <c r="B36" i="18"/>
  <c r="B37" i="18"/>
  <c r="G35" i="18"/>
  <c r="G34" i="18"/>
  <c r="G33" i="18"/>
  <c r="G30" i="18"/>
  <c r="G29" i="18"/>
  <c r="G28" i="18"/>
  <c r="G27" i="18"/>
  <c r="G26" i="18"/>
  <c r="G23" i="18"/>
  <c r="G22" i="18"/>
  <c r="G21" i="18"/>
  <c r="G20" i="18"/>
  <c r="G19" i="18"/>
  <c r="G16" i="18"/>
  <c r="G15" i="18"/>
  <c r="G14" i="18"/>
  <c r="G13" i="18"/>
  <c r="G12" i="18"/>
  <c r="L33" i="18"/>
  <c r="M33" i="18"/>
  <c r="N33" i="18"/>
  <c r="O33" i="18"/>
  <c r="P33" i="18"/>
  <c r="BM33" i="18"/>
  <c r="BN33" i="18"/>
  <c r="M26" i="18"/>
  <c r="N26" i="18"/>
  <c r="O26" i="18"/>
  <c r="P26" i="18"/>
  <c r="BM26" i="18"/>
  <c r="BN26" i="18"/>
  <c r="L26" i="18"/>
  <c r="L19" i="18"/>
  <c r="N12" i="18"/>
  <c r="O12" i="18"/>
  <c r="P12" i="18"/>
  <c r="BM12" i="18"/>
  <c r="BN12" i="18"/>
  <c r="M12" i="18"/>
  <c r="L12" i="18"/>
  <c r="L36" i="1"/>
  <c r="L35" i="1"/>
  <c r="M35" i="1"/>
  <c r="N35" i="1" s="1"/>
  <c r="O35" i="1" s="1"/>
  <c r="P35" i="1" s="1"/>
  <c r="BM35" i="1" s="1"/>
  <c r="BN35" i="1" s="1"/>
  <c r="L34" i="1"/>
  <c r="N33" i="1"/>
  <c r="O33" i="1"/>
  <c r="P33" i="1"/>
  <c r="BM33" i="1"/>
  <c r="BN33" i="1"/>
  <c r="M33" i="1"/>
  <c r="L33" i="1"/>
  <c r="L30" i="1"/>
  <c r="M30" i="1"/>
  <c r="N30" i="1"/>
  <c r="O30" i="1"/>
  <c r="P30" i="1"/>
  <c r="BM30" i="1"/>
  <c r="BN30" i="1"/>
  <c r="L29" i="1"/>
  <c r="M29" i="1"/>
  <c r="L28" i="1"/>
  <c r="M27" i="1"/>
  <c r="L27" i="1"/>
  <c r="N27" i="1"/>
  <c r="O27" i="1"/>
  <c r="P27" i="1"/>
  <c r="BM27" i="1"/>
  <c r="BN27" i="1"/>
  <c r="N26" i="1"/>
  <c r="O26" i="1"/>
  <c r="P26" i="1"/>
  <c r="BM26" i="1"/>
  <c r="BN26" i="1"/>
  <c r="M26" i="1"/>
  <c r="L26" i="1"/>
  <c r="N20" i="1"/>
  <c r="O20" i="1"/>
  <c r="P20" i="1"/>
  <c r="BM20" i="1"/>
  <c r="BN20" i="1"/>
  <c r="M20" i="1"/>
  <c r="L20" i="1"/>
  <c r="N19" i="1"/>
  <c r="O19" i="1"/>
  <c r="P19" i="1"/>
  <c r="BM19" i="1"/>
  <c r="BN19" i="1"/>
  <c r="M19" i="1"/>
  <c r="L19" i="1"/>
  <c r="L13" i="1"/>
  <c r="M12" i="1"/>
  <c r="L12" i="1"/>
  <c r="N12" i="1"/>
  <c r="O12" i="1"/>
  <c r="P12" i="1"/>
  <c r="BM12" i="1"/>
  <c r="BN12" i="1"/>
  <c r="L39" i="5"/>
  <c r="M39" i="5" s="1"/>
  <c r="L38" i="5"/>
  <c r="M38" i="5"/>
  <c r="N38" i="5"/>
  <c r="O38" i="5"/>
  <c r="P38" i="5"/>
  <c r="BN38" i="5"/>
  <c r="BO38" i="5"/>
  <c r="L37" i="5"/>
  <c r="M36" i="5"/>
  <c r="L36" i="5"/>
  <c r="N36" i="5"/>
  <c r="O36" i="5"/>
  <c r="P36" i="5"/>
  <c r="BN36" i="5"/>
  <c r="BO36" i="5"/>
  <c r="M32" i="5"/>
  <c r="N32" i="5"/>
  <c r="O32" i="5"/>
  <c r="P32" i="5"/>
  <c r="BN32" i="5"/>
  <c r="BO32" i="5"/>
  <c r="L32" i="5"/>
  <c r="N31" i="5"/>
  <c r="O31" i="5"/>
  <c r="P31" i="5"/>
  <c r="M31" i="5"/>
  <c r="L31" i="5"/>
  <c r="L30" i="5"/>
  <c r="L29" i="5"/>
  <c r="L23" i="5"/>
  <c r="M23" i="5" s="1"/>
  <c r="N23" i="5" s="1"/>
  <c r="O23" i="5" s="1"/>
  <c r="P23" i="5" s="1"/>
  <c r="BN23" i="5" s="1"/>
  <c r="BO23" i="5" s="1"/>
  <c r="M22" i="5"/>
  <c r="N22" i="5"/>
  <c r="O22" i="5"/>
  <c r="P22" i="5"/>
  <c r="BN22" i="5"/>
  <c r="BO22" i="5"/>
  <c r="L22" i="5"/>
  <c r="L33" i="5"/>
  <c r="L16" i="5"/>
  <c r="L15" i="5"/>
  <c r="P14" i="5"/>
  <c r="P13" i="5"/>
  <c r="P12" i="5"/>
  <c r="B13" i="5"/>
  <c r="C13" i="5"/>
  <c r="D13" i="5"/>
  <c r="E13" i="5"/>
  <c r="F13" i="5"/>
  <c r="B14" i="5"/>
  <c r="C14" i="5"/>
  <c r="D14" i="5"/>
  <c r="E14" i="5"/>
  <c r="F14" i="5"/>
  <c r="L9" i="5"/>
  <c r="M9" i="5" s="1"/>
  <c r="N9" i="5" s="1"/>
  <c r="O9" i="5" s="1"/>
  <c r="P9" i="5" s="1"/>
  <c r="BN9" i="5" s="1"/>
  <c r="BO9" i="5" s="1"/>
  <c r="AN9" i="25"/>
  <c r="AO9" i="25"/>
  <c r="AP9" i="25"/>
  <c r="AQ9" i="25"/>
  <c r="AN10" i="25"/>
  <c r="AO10" i="25"/>
  <c r="AP10" i="25"/>
  <c r="AQ10" i="25"/>
  <c r="AN11" i="25"/>
  <c r="AO11" i="25"/>
  <c r="AP11" i="25"/>
  <c r="AQ11" i="25"/>
  <c r="AN12" i="25"/>
  <c r="AO12" i="25"/>
  <c r="AP12" i="25"/>
  <c r="AQ12" i="25"/>
  <c r="AN13" i="25"/>
  <c r="AO13" i="25"/>
  <c r="AP13" i="25"/>
  <c r="AQ13" i="25"/>
  <c r="AN14" i="25"/>
  <c r="AO14" i="25"/>
  <c r="AP14" i="25"/>
  <c r="AQ14" i="25"/>
  <c r="AN15" i="25"/>
  <c r="AO15" i="25"/>
  <c r="AP15" i="25"/>
  <c r="AQ15" i="25"/>
  <c r="AN16" i="25"/>
  <c r="AO16" i="25"/>
  <c r="AP16" i="25"/>
  <c r="AQ16" i="25"/>
  <c r="AN17" i="25"/>
  <c r="AO17" i="25"/>
  <c r="AP17" i="25"/>
  <c r="AQ17" i="25"/>
  <c r="AN18" i="25"/>
  <c r="AO18" i="25"/>
  <c r="AP18" i="25"/>
  <c r="AQ18" i="25"/>
  <c r="AN19" i="25"/>
  <c r="AO19" i="25"/>
  <c r="AP19" i="25"/>
  <c r="AQ19" i="25"/>
  <c r="AN20" i="25"/>
  <c r="AO20" i="25"/>
  <c r="AP20" i="25"/>
  <c r="AQ20" i="25"/>
  <c r="AN21" i="25"/>
  <c r="AO21" i="25"/>
  <c r="AP21" i="25"/>
  <c r="AQ21" i="25"/>
  <c r="AN22" i="25"/>
  <c r="AO22" i="25"/>
  <c r="AP22" i="25"/>
  <c r="AQ22" i="25"/>
  <c r="AN23" i="25"/>
  <c r="AO23" i="25"/>
  <c r="AP23" i="25"/>
  <c r="AQ23" i="25"/>
  <c r="AN24" i="25"/>
  <c r="AO24" i="25"/>
  <c r="AP24" i="25"/>
  <c r="AQ24" i="25"/>
  <c r="AN25" i="25"/>
  <c r="AO25" i="25"/>
  <c r="AP25" i="25"/>
  <c r="AQ25" i="25"/>
  <c r="AN26" i="25"/>
  <c r="AO26" i="25"/>
  <c r="AP26" i="25"/>
  <c r="AQ26" i="25"/>
  <c r="AN27" i="25"/>
  <c r="AO27" i="25"/>
  <c r="AP27" i="25"/>
  <c r="AQ27" i="25"/>
  <c r="AN28" i="25"/>
  <c r="AO28" i="25"/>
  <c r="AP28" i="25"/>
  <c r="AQ28" i="25"/>
  <c r="AN29" i="25"/>
  <c r="AO29" i="25"/>
  <c r="AP29" i="25"/>
  <c r="AQ29" i="25"/>
  <c r="AN30" i="25"/>
  <c r="AO30" i="25"/>
  <c r="AP30" i="25"/>
  <c r="AQ30" i="25"/>
  <c r="AN31" i="25"/>
  <c r="AO31" i="25"/>
  <c r="AP31" i="25"/>
  <c r="AQ31" i="25"/>
  <c r="AN32" i="25"/>
  <c r="AO32" i="25"/>
  <c r="AP32" i="25"/>
  <c r="AQ32" i="25"/>
  <c r="AN33" i="25"/>
  <c r="AO33" i="25"/>
  <c r="AP33" i="25"/>
  <c r="AQ33" i="25"/>
  <c r="AN34" i="25"/>
  <c r="AO34" i="25"/>
  <c r="AP34" i="25"/>
  <c r="AQ34" i="25"/>
  <c r="AN35" i="25"/>
  <c r="AO35" i="25"/>
  <c r="AP35" i="25"/>
  <c r="AQ35" i="25"/>
  <c r="AN36" i="25"/>
  <c r="AO36" i="25"/>
  <c r="AP36" i="25"/>
  <c r="AQ36" i="25"/>
  <c r="AN37" i="25"/>
  <c r="AO37" i="25"/>
  <c r="AP37" i="25"/>
  <c r="AQ37" i="25"/>
  <c r="AN38" i="25"/>
  <c r="AO38" i="25"/>
  <c r="AP38" i="25"/>
  <c r="AQ38" i="25"/>
  <c r="AN39" i="25"/>
  <c r="AO39" i="25"/>
  <c r="AP39" i="25"/>
  <c r="AQ39" i="25"/>
  <c r="A1" i="4"/>
  <c r="L17" i="5"/>
  <c r="L10" i="5"/>
  <c r="M10" i="5" s="1"/>
  <c r="L11" i="5"/>
  <c r="M11" i="5"/>
  <c r="N11" i="5"/>
  <c r="O11" i="5"/>
  <c r="P11" i="5"/>
  <c r="BN11" i="5"/>
  <c r="BO11" i="5"/>
  <c r="L18" i="5"/>
  <c r="L19" i="5"/>
  <c r="L24" i="5"/>
  <c r="L25" i="5"/>
  <c r="L26" i="5"/>
  <c r="L12" i="5"/>
  <c r="M12" i="5"/>
  <c r="N12" i="5"/>
  <c r="O12" i="5"/>
  <c r="BN12" i="5"/>
  <c r="BO12" i="5"/>
  <c r="L13" i="5"/>
  <c r="L14" i="5"/>
  <c r="L9" i="1"/>
  <c r="L14" i="1"/>
  <c r="L15" i="1"/>
  <c r="M15" i="1"/>
  <c r="N15" i="1"/>
  <c r="O15" i="1"/>
  <c r="P15" i="1"/>
  <c r="BM15" i="1"/>
  <c r="BN15" i="1"/>
  <c r="L21" i="1"/>
  <c r="M21" i="1"/>
  <c r="N21" i="1"/>
  <c r="O21" i="1"/>
  <c r="P21" i="1"/>
  <c r="BM21" i="1"/>
  <c r="BN21" i="1"/>
  <c r="L22" i="1"/>
  <c r="L23" i="1"/>
  <c r="L10" i="1"/>
  <c r="L11" i="1"/>
  <c r="N11" i="1"/>
  <c r="O11" i="1"/>
  <c r="L16" i="1"/>
  <c r="L17" i="1"/>
  <c r="L18" i="1"/>
  <c r="L13" i="18"/>
  <c r="L14" i="18"/>
  <c r="L20" i="18"/>
  <c r="N20" i="18"/>
  <c r="O20" i="18"/>
  <c r="P20" i="18"/>
  <c r="BM20" i="18"/>
  <c r="BN20" i="18"/>
  <c r="L21" i="18"/>
  <c r="M21" i="18" s="1"/>
  <c r="L22" i="18"/>
  <c r="L23" i="18"/>
  <c r="L24" i="18"/>
  <c r="L27" i="18"/>
  <c r="L28" i="18"/>
  <c r="L29" i="18"/>
  <c r="L30" i="18"/>
  <c r="L31" i="18"/>
  <c r="L34" i="18"/>
  <c r="L35" i="18"/>
  <c r="L38" i="18"/>
  <c r="L9" i="18"/>
  <c r="L10" i="18"/>
  <c r="L15" i="18"/>
  <c r="L16" i="18"/>
  <c r="L17" i="18"/>
  <c r="L10" i="19"/>
  <c r="M10" i="19"/>
  <c r="N10" i="19"/>
  <c r="O10" i="19"/>
  <c r="P10" i="19"/>
  <c r="BM10" i="19"/>
  <c r="BN10" i="19"/>
  <c r="L11" i="19"/>
  <c r="N11" i="19"/>
  <c r="O11" i="19"/>
  <c r="P11" i="19"/>
  <c r="BM11" i="19"/>
  <c r="BN11" i="19"/>
  <c r="L12" i="19"/>
  <c r="L29" i="19"/>
  <c r="L15" i="20"/>
  <c r="L16" i="20"/>
  <c r="L18" i="20"/>
  <c r="L19" i="20"/>
  <c r="L26" i="21"/>
  <c r="L27" i="21"/>
  <c r="L38" i="22"/>
  <c r="L39" i="22"/>
  <c r="L9" i="24"/>
  <c r="L10" i="24"/>
  <c r="L39" i="24"/>
  <c r="M39" i="24"/>
  <c r="N39" i="24"/>
  <c r="O39" i="24"/>
  <c r="P39" i="24"/>
  <c r="BM39" i="24"/>
  <c r="BN39" i="24"/>
  <c r="L11" i="23"/>
  <c r="M11" i="23"/>
  <c r="L19" i="23"/>
  <c r="L18" i="23"/>
  <c r="N18" i="23"/>
  <c r="O18" i="23"/>
  <c r="P18" i="23"/>
  <c r="BM18" i="23"/>
  <c r="BN18" i="23"/>
  <c r="L32" i="23"/>
  <c r="L33" i="23"/>
  <c r="L12" i="23"/>
  <c r="L13" i="23"/>
  <c r="M13" i="23"/>
  <c r="N13" i="23"/>
  <c r="O13" i="23"/>
  <c r="P13" i="23"/>
  <c r="BM13" i="23"/>
  <c r="BN13" i="23"/>
  <c r="L14" i="23"/>
  <c r="L20" i="23"/>
  <c r="M20" i="23"/>
  <c r="N20" i="23"/>
  <c r="O20" i="23"/>
  <c r="P20" i="23"/>
  <c r="BM20" i="23"/>
  <c r="BN20" i="23"/>
  <c r="L21" i="23"/>
  <c r="L9" i="25"/>
  <c r="L10" i="25"/>
  <c r="L37" i="25"/>
  <c r="L38" i="25"/>
  <c r="L39" i="25"/>
  <c r="L11" i="25"/>
  <c r="M11" i="25"/>
  <c r="N11" i="25"/>
  <c r="O11" i="25"/>
  <c r="P11" i="25"/>
  <c r="BM11" i="25"/>
  <c r="BN11" i="25"/>
  <c r="L12" i="25"/>
  <c r="M12" i="25"/>
  <c r="N12" i="25"/>
  <c r="O12" i="25"/>
  <c r="P12" i="25"/>
  <c r="BM12" i="25"/>
  <c r="BN12" i="25"/>
  <c r="L13" i="26"/>
  <c r="M13" i="26"/>
  <c r="N13" i="26"/>
  <c r="O13" i="26"/>
  <c r="P13" i="26"/>
  <c r="BM13" i="26"/>
  <c r="BN13" i="26"/>
  <c r="L14" i="26"/>
  <c r="P9" i="27"/>
  <c r="M9" i="27"/>
  <c r="N9" i="27"/>
  <c r="O9" i="27"/>
  <c r="M14" i="26"/>
  <c r="N14" i="26"/>
  <c r="O14" i="26"/>
  <c r="P14" i="26"/>
  <c r="BM14" i="26"/>
  <c r="BN14" i="26"/>
  <c r="L8" i="26"/>
  <c r="M38" i="25"/>
  <c r="N38" i="25"/>
  <c r="O38" i="25"/>
  <c r="P38" i="25"/>
  <c r="BM38" i="25"/>
  <c r="BN38" i="25"/>
  <c r="M37" i="25"/>
  <c r="N37" i="25"/>
  <c r="O37" i="25"/>
  <c r="P37" i="25"/>
  <c r="BM37" i="25"/>
  <c r="BN37" i="25"/>
  <c r="M39" i="25"/>
  <c r="N39" i="25"/>
  <c r="O39" i="25"/>
  <c r="P39" i="25"/>
  <c r="BM39" i="25"/>
  <c r="BN39" i="25"/>
  <c r="M10" i="25"/>
  <c r="N10" i="25"/>
  <c r="O10" i="25"/>
  <c r="P10" i="25"/>
  <c r="M9" i="25"/>
  <c r="N9" i="25"/>
  <c r="O9" i="25"/>
  <c r="P9" i="25"/>
  <c r="M33" i="23"/>
  <c r="N33" i="23"/>
  <c r="O33" i="23"/>
  <c r="P33" i="23"/>
  <c r="BM33" i="23"/>
  <c r="BN33" i="23"/>
  <c r="M19" i="23"/>
  <c r="N19" i="23"/>
  <c r="O19" i="23"/>
  <c r="P19" i="23"/>
  <c r="BM19" i="23"/>
  <c r="BN19" i="23"/>
  <c r="M12" i="23"/>
  <c r="N12" i="23"/>
  <c r="O12" i="23"/>
  <c r="P12" i="23"/>
  <c r="BM12" i="23"/>
  <c r="BN12" i="23"/>
  <c r="M32" i="23"/>
  <c r="N32" i="23"/>
  <c r="O32" i="23"/>
  <c r="P32" i="23"/>
  <c r="M21" i="23"/>
  <c r="N21" i="23"/>
  <c r="O21" i="23"/>
  <c r="P21" i="23"/>
  <c r="M18" i="23"/>
  <c r="M14" i="23"/>
  <c r="N14" i="23"/>
  <c r="O14" i="23"/>
  <c r="P14" i="23"/>
  <c r="BM14" i="23"/>
  <c r="BN14" i="23"/>
  <c r="M9" i="24"/>
  <c r="N9" i="24"/>
  <c r="O9" i="24"/>
  <c r="P9" i="24"/>
  <c r="BM9" i="24"/>
  <c r="BN9" i="24"/>
  <c r="M10" i="24"/>
  <c r="N10" i="24"/>
  <c r="O10" i="24"/>
  <c r="P10" i="24"/>
  <c r="M39" i="22"/>
  <c r="N39" i="22"/>
  <c r="O39" i="22"/>
  <c r="P39" i="22"/>
  <c r="BM39" i="22"/>
  <c r="BN39" i="22"/>
  <c r="M38" i="22"/>
  <c r="N38" i="22"/>
  <c r="O38" i="22"/>
  <c r="P38" i="22"/>
  <c r="M27" i="21"/>
  <c r="N27" i="21"/>
  <c r="O27" i="21"/>
  <c r="P27" i="21"/>
  <c r="BM27" i="21"/>
  <c r="BN27" i="21"/>
  <c r="P13" i="21"/>
  <c r="BM13" i="21"/>
  <c r="BN13" i="21"/>
  <c r="BL13" i="21"/>
  <c r="C13" i="21"/>
  <c r="D13" i="21"/>
  <c r="E13" i="21"/>
  <c r="F13" i="21"/>
  <c r="P10" i="21"/>
  <c r="M10" i="21"/>
  <c r="N10" i="21"/>
  <c r="O10" i="21"/>
  <c r="M26" i="21"/>
  <c r="N26" i="21"/>
  <c r="O26" i="21"/>
  <c r="P26" i="21"/>
  <c r="M19" i="20"/>
  <c r="N19" i="20"/>
  <c r="O19" i="20"/>
  <c r="P19" i="20"/>
  <c r="BM19" i="20"/>
  <c r="BN19" i="20"/>
  <c r="M18" i="20"/>
  <c r="N18" i="20"/>
  <c r="O18" i="20"/>
  <c r="P18" i="20"/>
  <c r="BM18" i="20"/>
  <c r="BN18" i="20"/>
  <c r="M16" i="20"/>
  <c r="N16" i="20"/>
  <c r="O16" i="20"/>
  <c r="P16" i="20"/>
  <c r="BM16" i="20"/>
  <c r="BN16" i="20"/>
  <c r="M15" i="20"/>
  <c r="N15" i="20"/>
  <c r="O15" i="20"/>
  <c r="P15" i="20"/>
  <c r="BM15" i="20"/>
  <c r="BN15" i="20"/>
  <c r="C29" i="19"/>
  <c r="D29" i="19"/>
  <c r="E29" i="19"/>
  <c r="F29" i="19"/>
  <c r="BL39" i="19"/>
  <c r="M11" i="19"/>
  <c r="BM28" i="19"/>
  <c r="BN28" i="19"/>
  <c r="BM21" i="19"/>
  <c r="BN21" i="19"/>
  <c r="M14" i="19"/>
  <c r="N14" i="19"/>
  <c r="O14" i="19"/>
  <c r="P14" i="19"/>
  <c r="M12" i="19"/>
  <c r="N12" i="19"/>
  <c r="O12" i="19"/>
  <c r="P12" i="19"/>
  <c r="BM12" i="19"/>
  <c r="BN12" i="19"/>
  <c r="M35" i="18"/>
  <c r="N35" i="18"/>
  <c r="O35" i="18"/>
  <c r="P35" i="18"/>
  <c r="BM35" i="18"/>
  <c r="BN35" i="18"/>
  <c r="M28" i="18"/>
  <c r="N28" i="18"/>
  <c r="O28" i="18"/>
  <c r="P28" i="18"/>
  <c r="BM28" i="18"/>
  <c r="BN28" i="18"/>
  <c r="M27" i="18"/>
  <c r="N27" i="18"/>
  <c r="O27" i="18" s="1"/>
  <c r="P27" i="18" s="1"/>
  <c r="BM27" i="18" s="1"/>
  <c r="BN27" i="18" s="1"/>
  <c r="M14" i="18"/>
  <c r="N14" i="18"/>
  <c r="O14" i="18"/>
  <c r="P14" i="18"/>
  <c r="BM14" i="18"/>
  <c r="BN14" i="18"/>
  <c r="BM11" i="18"/>
  <c r="BN11" i="18"/>
  <c r="M38" i="18"/>
  <c r="N38" i="18"/>
  <c r="O38" i="18"/>
  <c r="P38" i="18"/>
  <c r="BM38" i="18"/>
  <c r="BN38" i="18"/>
  <c r="M34" i="18"/>
  <c r="N34" i="18"/>
  <c r="O34" i="18"/>
  <c r="P34" i="18"/>
  <c r="M31" i="18"/>
  <c r="N31" i="18"/>
  <c r="O31" i="18"/>
  <c r="P31" i="18"/>
  <c r="BM31" i="18"/>
  <c r="BN31" i="18"/>
  <c r="M30" i="18"/>
  <c r="N30" i="18"/>
  <c r="O30" i="18"/>
  <c r="P30" i="18"/>
  <c r="M29" i="18"/>
  <c r="N29" i="18"/>
  <c r="O29" i="18"/>
  <c r="P29" i="18"/>
  <c r="BM29" i="18"/>
  <c r="BN29" i="18"/>
  <c r="M24" i="18"/>
  <c r="N24" i="18"/>
  <c r="O24" i="18"/>
  <c r="P24" i="18"/>
  <c r="BM24" i="18"/>
  <c r="BN24" i="18"/>
  <c r="M23" i="18"/>
  <c r="N23" i="18"/>
  <c r="O23" i="18"/>
  <c r="P23" i="18"/>
  <c r="M22" i="18"/>
  <c r="N22" i="18"/>
  <c r="O22" i="18"/>
  <c r="P22" i="18"/>
  <c r="BM22" i="18"/>
  <c r="BN22" i="18"/>
  <c r="M20" i="18"/>
  <c r="M10" i="18"/>
  <c r="N10" i="18"/>
  <c r="O10" i="18"/>
  <c r="P10" i="18"/>
  <c r="M9" i="18"/>
  <c r="N9" i="18"/>
  <c r="O9" i="18"/>
  <c r="P9" i="18"/>
  <c r="M17" i="18"/>
  <c r="N17" i="18"/>
  <c r="O17" i="18"/>
  <c r="M16" i="18"/>
  <c r="N16" i="18"/>
  <c r="O16" i="18"/>
  <c r="M15" i="18"/>
  <c r="N15" i="18"/>
  <c r="O15" i="18"/>
  <c r="P15" i="18"/>
  <c r="BM15" i="18"/>
  <c r="BN15" i="18"/>
  <c r="M13" i="18"/>
  <c r="N13" i="18"/>
  <c r="O13" i="18"/>
  <c r="AE9" i="16"/>
  <c r="AF9" i="16"/>
  <c r="AG9" i="16"/>
  <c r="AH9" i="16"/>
  <c r="AE10" i="16"/>
  <c r="AF10" i="16"/>
  <c r="AG10" i="16"/>
  <c r="AH10" i="16"/>
  <c r="AC10" i="16"/>
  <c r="AE11" i="16"/>
  <c r="AF11" i="16"/>
  <c r="AG11" i="16"/>
  <c r="AH11" i="16"/>
  <c r="AC11" i="16"/>
  <c r="AE12" i="16"/>
  <c r="AF12" i="16"/>
  <c r="AG12" i="16"/>
  <c r="AH12" i="16"/>
  <c r="AC12" i="16"/>
  <c r="AE13" i="16"/>
  <c r="AF13" i="16"/>
  <c r="AG13" i="16"/>
  <c r="AH13" i="16"/>
  <c r="AC13" i="16"/>
  <c r="B8" i="1"/>
  <c r="M14" i="1"/>
  <c r="N14" i="1"/>
  <c r="O14" i="1"/>
  <c r="P14" i="1"/>
  <c r="BM14" i="1"/>
  <c r="BN14" i="1"/>
  <c r="M23" i="1"/>
  <c r="N23" i="1"/>
  <c r="O23" i="1"/>
  <c r="P23" i="1"/>
  <c r="M22" i="1"/>
  <c r="N22" i="1"/>
  <c r="O22" i="1"/>
  <c r="P22" i="1"/>
  <c r="BM22" i="1"/>
  <c r="BN22" i="1"/>
  <c r="M18" i="1"/>
  <c r="N18" i="1"/>
  <c r="O18" i="1"/>
  <c r="P18" i="1"/>
  <c r="BM18" i="1"/>
  <c r="BN18" i="1"/>
  <c r="M17" i="1"/>
  <c r="N17" i="1"/>
  <c r="O17" i="1"/>
  <c r="P17" i="1"/>
  <c r="M16" i="1"/>
  <c r="N16" i="1"/>
  <c r="O16" i="1"/>
  <c r="P16" i="1"/>
  <c r="BM16" i="1"/>
  <c r="BN16" i="1"/>
  <c r="M24" i="5"/>
  <c r="N24" i="5"/>
  <c r="O24" i="5"/>
  <c r="P24" i="5"/>
  <c r="BN24" i="5"/>
  <c r="BO24" i="5"/>
  <c r="M17" i="5"/>
  <c r="N17" i="5"/>
  <c r="O17" i="5"/>
  <c r="P17" i="5"/>
  <c r="AO11" i="5"/>
  <c r="AP11" i="5"/>
  <c r="AQ11" i="5"/>
  <c r="AR11" i="5"/>
  <c r="B2" i="17"/>
  <c r="I9" i="5"/>
  <c r="B9" i="5"/>
  <c r="V11" i="5"/>
  <c r="W11" i="5"/>
  <c r="X11" i="5"/>
  <c r="Y11" i="5"/>
  <c r="AO25" i="5"/>
  <c r="AP25" i="5"/>
  <c r="AQ25" i="5"/>
  <c r="AR25" i="5"/>
  <c r="AO32" i="5"/>
  <c r="AP32" i="5"/>
  <c r="AQ32" i="5"/>
  <c r="AR32" i="5"/>
  <c r="AO9" i="5"/>
  <c r="AP9" i="5"/>
  <c r="AQ9" i="5"/>
  <c r="AR9" i="5"/>
  <c r="AO10" i="5"/>
  <c r="AP10" i="5"/>
  <c r="AQ10" i="5"/>
  <c r="AR10" i="5"/>
  <c r="AO12" i="5"/>
  <c r="AP12" i="5"/>
  <c r="AQ12" i="5"/>
  <c r="AR12" i="5"/>
  <c r="AO13" i="5"/>
  <c r="AP13" i="5"/>
  <c r="AQ13" i="5"/>
  <c r="AR13" i="5"/>
  <c r="AO14" i="5"/>
  <c r="AP14" i="5"/>
  <c r="AQ14" i="5"/>
  <c r="AR14" i="5"/>
  <c r="AO15" i="5"/>
  <c r="AP15" i="5"/>
  <c r="AQ15" i="5"/>
  <c r="AR15" i="5"/>
  <c r="AO16" i="5"/>
  <c r="AP16" i="5"/>
  <c r="AQ16" i="5"/>
  <c r="AR16" i="5"/>
  <c r="AO17" i="5"/>
  <c r="AP17" i="5"/>
  <c r="AQ17" i="5"/>
  <c r="AR17" i="5"/>
  <c r="AO18" i="5"/>
  <c r="AP18" i="5"/>
  <c r="AQ18" i="5"/>
  <c r="AR18" i="5"/>
  <c r="AO19" i="5"/>
  <c r="AP19" i="5"/>
  <c r="AQ19" i="5"/>
  <c r="AR19" i="5"/>
  <c r="AO20" i="5"/>
  <c r="AP20" i="5"/>
  <c r="AQ20" i="5"/>
  <c r="AR20" i="5"/>
  <c r="AO21" i="5"/>
  <c r="AP21" i="5"/>
  <c r="AQ21" i="5"/>
  <c r="AR21" i="5"/>
  <c r="AO22" i="5"/>
  <c r="AP22" i="5"/>
  <c r="AQ22" i="5"/>
  <c r="AR22" i="5"/>
  <c r="AO23" i="5"/>
  <c r="AP23" i="5"/>
  <c r="AQ23" i="5"/>
  <c r="AR23" i="5"/>
  <c r="AO24" i="5"/>
  <c r="AP24" i="5"/>
  <c r="AQ24" i="5"/>
  <c r="AR24" i="5"/>
  <c r="AO26" i="5"/>
  <c r="AP26" i="5"/>
  <c r="AQ26" i="5"/>
  <c r="AR26" i="5"/>
  <c r="AO27" i="5"/>
  <c r="AP27" i="5"/>
  <c r="AQ27" i="5"/>
  <c r="AR27" i="5"/>
  <c r="AO28" i="5"/>
  <c r="AP28" i="5"/>
  <c r="AQ28" i="5"/>
  <c r="AR28" i="5"/>
  <c r="AO29" i="5"/>
  <c r="AP29" i="5"/>
  <c r="AQ29" i="5"/>
  <c r="AR29" i="5"/>
  <c r="AO30" i="5"/>
  <c r="AP30" i="5"/>
  <c r="AQ30" i="5"/>
  <c r="AR30" i="5"/>
  <c r="AO31" i="5"/>
  <c r="AP31" i="5"/>
  <c r="AQ31" i="5"/>
  <c r="AR31" i="5"/>
  <c r="AO33" i="5"/>
  <c r="AP33" i="5"/>
  <c r="AQ33" i="5"/>
  <c r="AR33" i="5"/>
  <c r="AO34" i="5"/>
  <c r="AP34" i="5"/>
  <c r="AQ34" i="5"/>
  <c r="AR34" i="5"/>
  <c r="AO35" i="5"/>
  <c r="AP35" i="5"/>
  <c r="AQ35" i="5"/>
  <c r="AR35" i="5"/>
  <c r="AO36" i="5"/>
  <c r="AP36" i="5"/>
  <c r="AQ36" i="5"/>
  <c r="AR36" i="5"/>
  <c r="AO37" i="5"/>
  <c r="AP37" i="5"/>
  <c r="AQ37" i="5"/>
  <c r="AR37" i="5"/>
  <c r="AO38" i="5"/>
  <c r="AP38" i="5"/>
  <c r="AQ38" i="5"/>
  <c r="AR38" i="5"/>
  <c r="AO39" i="5"/>
  <c r="AP39" i="5"/>
  <c r="AQ39" i="5"/>
  <c r="AR39" i="5"/>
  <c r="AN13" i="1"/>
  <c r="AO13" i="1"/>
  <c r="AP13" i="1"/>
  <c r="AQ13" i="1"/>
  <c r="AN14" i="1"/>
  <c r="AO14" i="1"/>
  <c r="AP14" i="1"/>
  <c r="AQ14" i="1"/>
  <c r="AN15" i="1"/>
  <c r="AO15" i="1"/>
  <c r="AP15" i="1"/>
  <c r="AQ15" i="1"/>
  <c r="AN16" i="1"/>
  <c r="AO16" i="1"/>
  <c r="AP16" i="1"/>
  <c r="AQ16" i="1"/>
  <c r="AN17" i="1"/>
  <c r="AO17" i="1"/>
  <c r="AP17" i="1"/>
  <c r="AQ17" i="1"/>
  <c r="AN18" i="1"/>
  <c r="AO18" i="1"/>
  <c r="AP18" i="1"/>
  <c r="AQ18" i="1"/>
  <c r="AN19" i="1"/>
  <c r="AO19" i="1"/>
  <c r="AP19" i="1"/>
  <c r="AQ19" i="1"/>
  <c r="AN20" i="1"/>
  <c r="AO20" i="1"/>
  <c r="AP20" i="1"/>
  <c r="AQ20" i="1"/>
  <c r="AN21" i="1"/>
  <c r="AO21" i="1"/>
  <c r="AP21" i="1"/>
  <c r="AQ21" i="1"/>
  <c r="AN22" i="1"/>
  <c r="AO22" i="1"/>
  <c r="AP22" i="1"/>
  <c r="AQ22" i="1"/>
  <c r="AN23" i="1"/>
  <c r="AO23" i="1"/>
  <c r="AP23" i="1"/>
  <c r="AQ23" i="1"/>
  <c r="AN24" i="1"/>
  <c r="AO24" i="1"/>
  <c r="AP24" i="1"/>
  <c r="AQ24" i="1"/>
  <c r="AN25" i="1"/>
  <c r="AO25" i="1"/>
  <c r="AP25" i="1"/>
  <c r="AQ25" i="1"/>
  <c r="AN26" i="1"/>
  <c r="AO26" i="1"/>
  <c r="AP26" i="1"/>
  <c r="AQ26" i="1"/>
  <c r="AN27" i="1"/>
  <c r="AO27" i="1"/>
  <c r="AP27" i="1"/>
  <c r="AQ27" i="1"/>
  <c r="AN28" i="1"/>
  <c r="AO28" i="1"/>
  <c r="AP28" i="1"/>
  <c r="AQ28" i="1"/>
  <c r="AN29" i="1"/>
  <c r="AO29" i="1"/>
  <c r="AP29" i="1"/>
  <c r="AQ29" i="1"/>
  <c r="AN30" i="1"/>
  <c r="AO30" i="1"/>
  <c r="AP30" i="1"/>
  <c r="AQ30" i="1"/>
  <c r="AN31" i="1"/>
  <c r="AO31" i="1"/>
  <c r="AP31" i="1"/>
  <c r="AQ31" i="1"/>
  <c r="AN32" i="1"/>
  <c r="AO32" i="1"/>
  <c r="AP32" i="1"/>
  <c r="AQ32" i="1"/>
  <c r="AN33" i="1"/>
  <c r="AO33" i="1"/>
  <c r="AP33" i="1"/>
  <c r="AQ33" i="1"/>
  <c r="AN34" i="1"/>
  <c r="AO34" i="1"/>
  <c r="AP34" i="1"/>
  <c r="AQ34" i="1"/>
  <c r="AN35" i="1"/>
  <c r="AO35" i="1"/>
  <c r="AP35" i="1"/>
  <c r="AQ35" i="1"/>
  <c r="AN36" i="1"/>
  <c r="AO36" i="1"/>
  <c r="AP36" i="1"/>
  <c r="AQ36" i="1"/>
  <c r="AN37" i="1"/>
  <c r="AO37" i="1"/>
  <c r="AP37" i="1"/>
  <c r="AQ37" i="1"/>
  <c r="AN12" i="18"/>
  <c r="AO12" i="18"/>
  <c r="AP12" i="18"/>
  <c r="AQ12" i="18"/>
  <c r="AN13" i="18"/>
  <c r="AO13" i="18"/>
  <c r="AP13" i="18"/>
  <c r="AQ13" i="18"/>
  <c r="AN14" i="18"/>
  <c r="AO14" i="18"/>
  <c r="AP14" i="18"/>
  <c r="AQ14" i="18"/>
  <c r="AN15" i="18"/>
  <c r="AO15" i="18"/>
  <c r="AP15" i="18"/>
  <c r="AQ15" i="18"/>
  <c r="AN16" i="18"/>
  <c r="AO16" i="18"/>
  <c r="AP16" i="18"/>
  <c r="AQ16" i="18"/>
  <c r="AN17" i="18"/>
  <c r="AO17" i="18"/>
  <c r="AP17" i="18"/>
  <c r="AQ17" i="18"/>
  <c r="AN18" i="18"/>
  <c r="AO18" i="18"/>
  <c r="AP18" i="18"/>
  <c r="AQ18" i="18"/>
  <c r="AN19" i="18"/>
  <c r="AO19" i="18"/>
  <c r="AP19" i="18"/>
  <c r="AQ19" i="18"/>
  <c r="AN20" i="18"/>
  <c r="AO20" i="18"/>
  <c r="AP20" i="18"/>
  <c r="AQ20" i="18"/>
  <c r="AN21" i="18"/>
  <c r="AO21" i="18"/>
  <c r="AP21" i="18"/>
  <c r="AQ21" i="18"/>
  <c r="AN22" i="18"/>
  <c r="AO22" i="18"/>
  <c r="AP22" i="18"/>
  <c r="AQ22" i="18"/>
  <c r="AN23" i="18"/>
  <c r="AO23" i="18"/>
  <c r="AP23" i="18"/>
  <c r="AQ23" i="18"/>
  <c r="AN24" i="18"/>
  <c r="AO24" i="18"/>
  <c r="AP24" i="18"/>
  <c r="AQ24" i="18"/>
  <c r="AN25" i="18"/>
  <c r="AO25" i="18"/>
  <c r="AP25" i="18"/>
  <c r="AQ25" i="18"/>
  <c r="AN26" i="18"/>
  <c r="AO26" i="18"/>
  <c r="AP26" i="18"/>
  <c r="AQ26" i="18"/>
  <c r="AN27" i="18"/>
  <c r="AO27" i="18"/>
  <c r="AP27" i="18"/>
  <c r="AQ27" i="18"/>
  <c r="AN28" i="18"/>
  <c r="AO28" i="18"/>
  <c r="AP28" i="18"/>
  <c r="AQ28" i="18"/>
  <c r="AN29" i="18"/>
  <c r="AO29" i="18"/>
  <c r="AP29" i="18"/>
  <c r="AQ29" i="18"/>
  <c r="AN30" i="18"/>
  <c r="AO30" i="18"/>
  <c r="AP30" i="18"/>
  <c r="AQ30" i="18"/>
  <c r="AN31" i="18"/>
  <c r="AO31" i="18"/>
  <c r="AP31" i="18"/>
  <c r="AQ31" i="18"/>
  <c r="AN32" i="18"/>
  <c r="AO32" i="18"/>
  <c r="AP32" i="18"/>
  <c r="AQ32" i="18"/>
  <c r="AN33" i="18"/>
  <c r="AO33" i="18"/>
  <c r="AP33" i="18"/>
  <c r="AQ33" i="18"/>
  <c r="AN34" i="18"/>
  <c r="AO34" i="18"/>
  <c r="AP34" i="18"/>
  <c r="AQ34" i="18"/>
  <c r="AN35" i="18"/>
  <c r="AO35" i="18"/>
  <c r="AP35" i="18"/>
  <c r="AQ35" i="18"/>
  <c r="AN36" i="18"/>
  <c r="AO36" i="18"/>
  <c r="AP36" i="18"/>
  <c r="AQ36" i="18"/>
  <c r="AN37" i="18"/>
  <c r="AO37" i="18"/>
  <c r="AP37" i="18"/>
  <c r="AQ37" i="18"/>
  <c r="AN10" i="19"/>
  <c r="AO10" i="19"/>
  <c r="AP10" i="19"/>
  <c r="AQ10" i="19"/>
  <c r="AN11" i="19"/>
  <c r="AO11" i="19"/>
  <c r="AP11" i="19"/>
  <c r="AQ11" i="19"/>
  <c r="AN12" i="19"/>
  <c r="AO12" i="19"/>
  <c r="AP12" i="19"/>
  <c r="AQ12" i="19"/>
  <c r="AN13" i="19"/>
  <c r="AO13" i="19"/>
  <c r="AP13" i="19"/>
  <c r="AQ13" i="19"/>
  <c r="AN14" i="19"/>
  <c r="AO14" i="19"/>
  <c r="AP14" i="19"/>
  <c r="AQ14" i="19"/>
  <c r="AN15" i="19"/>
  <c r="AO15" i="19"/>
  <c r="AP15" i="19"/>
  <c r="AQ15" i="19"/>
  <c r="AN16" i="19"/>
  <c r="AO16" i="19"/>
  <c r="AP16" i="19"/>
  <c r="AQ16" i="19"/>
  <c r="AN17" i="19"/>
  <c r="AO17" i="19"/>
  <c r="AP17" i="19"/>
  <c r="AQ17" i="19"/>
  <c r="AN18" i="19"/>
  <c r="AO18" i="19"/>
  <c r="AP18" i="19"/>
  <c r="AQ18" i="19"/>
  <c r="AN19" i="19"/>
  <c r="AO19" i="19"/>
  <c r="AP19" i="19"/>
  <c r="AQ19" i="19"/>
  <c r="AN20" i="19"/>
  <c r="AO20" i="19"/>
  <c r="AP20" i="19"/>
  <c r="AQ20" i="19"/>
  <c r="AN21" i="19"/>
  <c r="AO21" i="19"/>
  <c r="AP21" i="19"/>
  <c r="AQ21" i="19"/>
  <c r="AN22" i="19"/>
  <c r="AO22" i="19"/>
  <c r="AP22" i="19"/>
  <c r="AQ22" i="19"/>
  <c r="AN23" i="19"/>
  <c r="AO23" i="19"/>
  <c r="AP23" i="19"/>
  <c r="AQ23" i="19"/>
  <c r="AN24" i="19"/>
  <c r="AO24" i="19"/>
  <c r="AP24" i="19"/>
  <c r="AQ24" i="19"/>
  <c r="AN25" i="19"/>
  <c r="AO25" i="19"/>
  <c r="AP25" i="19"/>
  <c r="AQ25" i="19"/>
  <c r="AN26" i="19"/>
  <c r="AO26" i="19"/>
  <c r="AP26" i="19"/>
  <c r="AQ26" i="19"/>
  <c r="AN27" i="19"/>
  <c r="AO27" i="19"/>
  <c r="AP27" i="19"/>
  <c r="AQ27" i="19"/>
  <c r="AN28" i="19"/>
  <c r="AO28" i="19"/>
  <c r="AP28" i="19"/>
  <c r="AQ28" i="19"/>
  <c r="AN29" i="19"/>
  <c r="AO29" i="19"/>
  <c r="AP29" i="19"/>
  <c r="AQ29" i="19"/>
  <c r="AN30" i="19"/>
  <c r="AO30" i="19"/>
  <c r="AP30" i="19"/>
  <c r="AQ30" i="19"/>
  <c r="AN31" i="19"/>
  <c r="AO31" i="19"/>
  <c r="AP31" i="19"/>
  <c r="AQ31" i="19"/>
  <c r="AN32" i="19"/>
  <c r="AO32" i="19"/>
  <c r="AP32" i="19"/>
  <c r="AQ32" i="19"/>
  <c r="AN33" i="19"/>
  <c r="AO33" i="19"/>
  <c r="AP33" i="19"/>
  <c r="AQ33" i="19"/>
  <c r="AN34" i="19"/>
  <c r="AO34" i="19"/>
  <c r="AP34" i="19"/>
  <c r="AQ34" i="19"/>
  <c r="AN35" i="19"/>
  <c r="AO35" i="19"/>
  <c r="AP35" i="19"/>
  <c r="AQ35" i="19"/>
  <c r="AN36" i="19"/>
  <c r="AO36" i="19"/>
  <c r="AP36" i="19"/>
  <c r="AQ36" i="19"/>
  <c r="AN37" i="19"/>
  <c r="AO37" i="19"/>
  <c r="AP37" i="19"/>
  <c r="AQ37" i="19"/>
  <c r="BM36" i="19"/>
  <c r="BN36" i="19"/>
  <c r="BM35" i="19"/>
  <c r="BN35" i="19"/>
  <c r="P29" i="19"/>
  <c r="BM29" i="19"/>
  <c r="BN29" i="19"/>
  <c r="BL29" i="19"/>
  <c r="BM22" i="19"/>
  <c r="BN22" i="19"/>
  <c r="BM15" i="19"/>
  <c r="BN15" i="19"/>
  <c r="BM14" i="19"/>
  <c r="BN14" i="19"/>
  <c r="BL14" i="19"/>
  <c r="AN38" i="19"/>
  <c r="AO38" i="19"/>
  <c r="AP38" i="19"/>
  <c r="AQ38" i="19"/>
  <c r="AN9" i="20"/>
  <c r="AO9" i="20"/>
  <c r="AP9" i="20"/>
  <c r="AQ9" i="20"/>
  <c r="AN15" i="20"/>
  <c r="AO15" i="20"/>
  <c r="AP15" i="20"/>
  <c r="AQ15" i="20"/>
  <c r="AN16" i="20"/>
  <c r="AO16" i="20"/>
  <c r="AP16" i="20"/>
  <c r="AQ16" i="20"/>
  <c r="AN22" i="20"/>
  <c r="AO22" i="20"/>
  <c r="AP22" i="20"/>
  <c r="AQ22" i="20"/>
  <c r="AN23" i="20"/>
  <c r="AO23" i="20"/>
  <c r="AP23" i="20"/>
  <c r="AQ23" i="20"/>
  <c r="AN28" i="20"/>
  <c r="AO28" i="20"/>
  <c r="AP28" i="20"/>
  <c r="AQ28" i="20"/>
  <c r="AN29" i="20"/>
  <c r="AO29" i="20"/>
  <c r="AP29" i="20"/>
  <c r="AQ29" i="20"/>
  <c r="AN30" i="20"/>
  <c r="AO30" i="20"/>
  <c r="AP30" i="20"/>
  <c r="AQ30" i="20"/>
  <c r="AN36" i="20"/>
  <c r="AO36" i="20"/>
  <c r="AP36" i="20"/>
  <c r="AQ36" i="20"/>
  <c r="AN37" i="20"/>
  <c r="AO37" i="20"/>
  <c r="AP37" i="20"/>
  <c r="AQ37" i="20"/>
  <c r="AN10" i="20"/>
  <c r="AO10" i="20"/>
  <c r="AP10" i="20"/>
  <c r="AQ10" i="20"/>
  <c r="AN11" i="20"/>
  <c r="AO11" i="20"/>
  <c r="AP11" i="20"/>
  <c r="AQ11" i="20"/>
  <c r="AN12" i="20"/>
  <c r="AO12" i="20"/>
  <c r="AP12" i="20"/>
  <c r="AQ12" i="20"/>
  <c r="AN13" i="20"/>
  <c r="AO13" i="20"/>
  <c r="AP13" i="20"/>
  <c r="AQ13" i="20"/>
  <c r="AN14" i="20"/>
  <c r="AO14" i="20"/>
  <c r="AP14" i="20"/>
  <c r="AQ14" i="20"/>
  <c r="AN17" i="20"/>
  <c r="AO17" i="20"/>
  <c r="AP17" i="20"/>
  <c r="AQ17" i="20"/>
  <c r="AN18" i="20"/>
  <c r="AO18" i="20"/>
  <c r="AP18" i="20"/>
  <c r="AQ18" i="20"/>
  <c r="AN19" i="20"/>
  <c r="AO19" i="20"/>
  <c r="AP19" i="20"/>
  <c r="AQ19" i="20"/>
  <c r="AN20" i="20"/>
  <c r="AO20" i="20"/>
  <c r="AP20" i="20"/>
  <c r="AQ20" i="20"/>
  <c r="AN21" i="20"/>
  <c r="AO21" i="20"/>
  <c r="AP21" i="20"/>
  <c r="AQ21" i="20"/>
  <c r="AN24" i="20"/>
  <c r="AO24" i="20"/>
  <c r="AP24" i="20"/>
  <c r="AQ24" i="20"/>
  <c r="AN25" i="20"/>
  <c r="AO25" i="20"/>
  <c r="AP25" i="20"/>
  <c r="AQ25" i="20"/>
  <c r="AN26" i="20"/>
  <c r="AO26" i="20"/>
  <c r="AP26" i="20"/>
  <c r="AQ26" i="20"/>
  <c r="AN27" i="20"/>
  <c r="AO27" i="20"/>
  <c r="AP27" i="20"/>
  <c r="AQ27" i="20"/>
  <c r="AN31" i="20"/>
  <c r="AO31" i="20"/>
  <c r="AP31" i="20"/>
  <c r="AQ31" i="20"/>
  <c r="AN32" i="20"/>
  <c r="AO32" i="20"/>
  <c r="AP32" i="20"/>
  <c r="AQ32" i="20"/>
  <c r="AN33" i="20"/>
  <c r="AO33" i="20"/>
  <c r="AP33" i="20"/>
  <c r="AQ33" i="20"/>
  <c r="AN34" i="20"/>
  <c r="AO34" i="20"/>
  <c r="AP34" i="20"/>
  <c r="AQ34" i="20"/>
  <c r="AN35" i="20"/>
  <c r="AO35" i="20"/>
  <c r="AP35" i="20"/>
  <c r="AQ35" i="20"/>
  <c r="AN10" i="21"/>
  <c r="AO10" i="21"/>
  <c r="AP10" i="21"/>
  <c r="AQ10" i="21"/>
  <c r="AN11" i="21"/>
  <c r="AO11" i="21"/>
  <c r="AP11" i="21"/>
  <c r="AQ11" i="21"/>
  <c r="AN12" i="21"/>
  <c r="AO12" i="21"/>
  <c r="AP12" i="21"/>
  <c r="AQ12" i="21"/>
  <c r="AN13" i="21"/>
  <c r="AO13" i="21"/>
  <c r="AP13" i="21"/>
  <c r="AQ13" i="21"/>
  <c r="AN19" i="21"/>
  <c r="AO19" i="21"/>
  <c r="AP19" i="21"/>
  <c r="AQ19" i="21"/>
  <c r="AN20" i="21"/>
  <c r="AO20" i="21"/>
  <c r="AP20" i="21"/>
  <c r="AQ20" i="21"/>
  <c r="AN26" i="21"/>
  <c r="AO26" i="21"/>
  <c r="AP26" i="21"/>
  <c r="AQ26" i="21"/>
  <c r="AN27" i="21"/>
  <c r="AO27" i="21"/>
  <c r="AP27" i="21"/>
  <c r="AQ27" i="21"/>
  <c r="AN33" i="21"/>
  <c r="AO33" i="21"/>
  <c r="AP33" i="21"/>
  <c r="AQ33" i="21"/>
  <c r="AN34" i="21"/>
  <c r="AO34" i="21"/>
  <c r="AP34" i="21"/>
  <c r="AQ34" i="21"/>
  <c r="AN14" i="21"/>
  <c r="AO14" i="21"/>
  <c r="AP14" i="21"/>
  <c r="AQ14" i="21"/>
  <c r="AN15" i="21"/>
  <c r="AO15" i="21"/>
  <c r="AP15" i="21"/>
  <c r="AQ15" i="21"/>
  <c r="AN16" i="21"/>
  <c r="AO16" i="21"/>
  <c r="AP16" i="21"/>
  <c r="AQ16" i="21"/>
  <c r="AN17" i="21"/>
  <c r="AO17" i="21"/>
  <c r="AP17" i="21"/>
  <c r="AQ17" i="21"/>
  <c r="AN18" i="21"/>
  <c r="AO18" i="21"/>
  <c r="AP18" i="21"/>
  <c r="AQ18" i="21"/>
  <c r="AN21" i="21"/>
  <c r="AO21" i="21"/>
  <c r="AP21" i="21"/>
  <c r="AQ21" i="21"/>
  <c r="AN22" i="21"/>
  <c r="AO22" i="21"/>
  <c r="AP22" i="21"/>
  <c r="AQ22" i="21"/>
  <c r="AN23" i="21"/>
  <c r="AO23" i="21"/>
  <c r="AP23" i="21"/>
  <c r="AQ23" i="21"/>
  <c r="AN24" i="21"/>
  <c r="AO24" i="21"/>
  <c r="AP24" i="21"/>
  <c r="AQ24" i="21"/>
  <c r="AN25" i="21"/>
  <c r="AO25" i="21"/>
  <c r="AP25" i="21"/>
  <c r="AQ25" i="21"/>
  <c r="AN28" i="21"/>
  <c r="AO28" i="21"/>
  <c r="AP28" i="21"/>
  <c r="AQ28" i="21"/>
  <c r="AN29" i="21"/>
  <c r="AO29" i="21"/>
  <c r="AP29" i="21"/>
  <c r="AQ29" i="21"/>
  <c r="AN30" i="21"/>
  <c r="AO30" i="21"/>
  <c r="AP30" i="21"/>
  <c r="AQ30" i="21"/>
  <c r="AN31" i="21"/>
  <c r="AO31" i="21"/>
  <c r="AP31" i="21"/>
  <c r="AQ31" i="21"/>
  <c r="AN32" i="21"/>
  <c r="AO32" i="21"/>
  <c r="AP32" i="21"/>
  <c r="AQ32" i="21"/>
  <c r="AN17" i="22"/>
  <c r="AO17" i="22"/>
  <c r="AP17" i="22"/>
  <c r="AQ17" i="22"/>
  <c r="AN18" i="22"/>
  <c r="AO18" i="22"/>
  <c r="AP18" i="22"/>
  <c r="AQ18" i="22"/>
  <c r="AN24" i="22"/>
  <c r="AO24" i="22"/>
  <c r="AP24" i="22"/>
  <c r="AQ24" i="22"/>
  <c r="AN25" i="22"/>
  <c r="AO25" i="22"/>
  <c r="AP25" i="22"/>
  <c r="AQ25" i="22"/>
  <c r="AN31" i="22"/>
  <c r="AO31" i="22"/>
  <c r="AP31" i="22"/>
  <c r="AQ31" i="22"/>
  <c r="AN32" i="22"/>
  <c r="AO32" i="22"/>
  <c r="AP32" i="22"/>
  <c r="AQ32" i="22"/>
  <c r="AN38" i="22"/>
  <c r="AO38" i="22"/>
  <c r="AP38" i="22"/>
  <c r="AQ38" i="22"/>
  <c r="AN39" i="22"/>
  <c r="AO39" i="22"/>
  <c r="AP39" i="22"/>
  <c r="AQ39" i="22"/>
  <c r="AN15" i="22"/>
  <c r="AO15" i="22"/>
  <c r="AP15" i="22"/>
  <c r="AQ15" i="22"/>
  <c r="AN16" i="22"/>
  <c r="AO16" i="22"/>
  <c r="AP16" i="22"/>
  <c r="AQ16" i="22"/>
  <c r="AN19" i="22"/>
  <c r="AO19" i="22"/>
  <c r="AP19" i="22"/>
  <c r="AQ19" i="22"/>
  <c r="AN20" i="22"/>
  <c r="AO20" i="22"/>
  <c r="AP20" i="22"/>
  <c r="AQ20" i="22"/>
  <c r="AN21" i="22"/>
  <c r="AO21" i="22"/>
  <c r="AP21" i="22"/>
  <c r="AQ21" i="22"/>
  <c r="AN22" i="22"/>
  <c r="AO22" i="22"/>
  <c r="AP22" i="22"/>
  <c r="AQ22" i="22"/>
  <c r="AN23" i="22"/>
  <c r="AO23" i="22"/>
  <c r="AP23" i="22"/>
  <c r="AQ23" i="22"/>
  <c r="AN26" i="22"/>
  <c r="AO26" i="22"/>
  <c r="AP26" i="22"/>
  <c r="AQ26" i="22"/>
  <c r="AN27" i="22"/>
  <c r="AO27" i="22"/>
  <c r="AP27" i="22"/>
  <c r="AQ27" i="22"/>
  <c r="AN28" i="22"/>
  <c r="AO28" i="22"/>
  <c r="AP28" i="22"/>
  <c r="AQ28" i="22"/>
  <c r="AN29" i="22"/>
  <c r="AO29" i="22"/>
  <c r="AP29" i="22"/>
  <c r="AQ29" i="22"/>
  <c r="AN30" i="22"/>
  <c r="AO30" i="22"/>
  <c r="AP30" i="22"/>
  <c r="AQ30" i="22"/>
  <c r="AN33" i="22"/>
  <c r="AO33" i="22"/>
  <c r="AP33" i="22"/>
  <c r="AQ33" i="22"/>
  <c r="AN34" i="22"/>
  <c r="AO34" i="22"/>
  <c r="AP34" i="22"/>
  <c r="AQ34" i="22"/>
  <c r="AN35" i="22"/>
  <c r="AO35" i="22"/>
  <c r="AP35" i="22"/>
  <c r="AQ35" i="22"/>
  <c r="AN36" i="22"/>
  <c r="AO36" i="22"/>
  <c r="AP36" i="22"/>
  <c r="AQ36" i="22"/>
  <c r="AN37" i="22"/>
  <c r="AO37" i="22"/>
  <c r="AP37" i="22"/>
  <c r="AQ37" i="22"/>
  <c r="AN14" i="24"/>
  <c r="AO14" i="24"/>
  <c r="AP14" i="24"/>
  <c r="AQ14" i="24"/>
  <c r="AN15" i="24"/>
  <c r="AO15" i="24"/>
  <c r="AP15" i="24"/>
  <c r="AQ15" i="24"/>
  <c r="AN21" i="24"/>
  <c r="AO21" i="24"/>
  <c r="AP21" i="24"/>
  <c r="AQ21" i="24"/>
  <c r="AN22" i="24"/>
  <c r="AO22" i="24"/>
  <c r="AP22" i="24"/>
  <c r="AQ22" i="24"/>
  <c r="AN28" i="24"/>
  <c r="AO28" i="24"/>
  <c r="AP28" i="24"/>
  <c r="AQ28" i="24"/>
  <c r="AN29" i="24"/>
  <c r="AO29" i="24"/>
  <c r="AP29" i="24"/>
  <c r="AQ29" i="24"/>
  <c r="AN35" i="24"/>
  <c r="AO35" i="24"/>
  <c r="AP35" i="24"/>
  <c r="AQ35" i="24"/>
  <c r="AN36" i="24"/>
  <c r="AO36" i="24"/>
  <c r="AP36" i="24"/>
  <c r="AQ36" i="24"/>
  <c r="AN13" i="24"/>
  <c r="AO13" i="24"/>
  <c r="AP13" i="24"/>
  <c r="AQ13" i="24"/>
  <c r="AN16" i="24"/>
  <c r="AO16" i="24"/>
  <c r="AP16" i="24"/>
  <c r="AQ16" i="24"/>
  <c r="AN17" i="24"/>
  <c r="AO17" i="24"/>
  <c r="AP17" i="24"/>
  <c r="AQ17" i="24"/>
  <c r="AN18" i="24"/>
  <c r="AO18" i="24"/>
  <c r="AP18" i="24"/>
  <c r="AQ18" i="24"/>
  <c r="AN19" i="24"/>
  <c r="AO19" i="24"/>
  <c r="AP19" i="24"/>
  <c r="AQ19" i="24"/>
  <c r="AN20" i="24"/>
  <c r="AO20" i="24"/>
  <c r="AP20" i="24"/>
  <c r="AQ20" i="24"/>
  <c r="AN23" i="24"/>
  <c r="AO23" i="24"/>
  <c r="AP23" i="24"/>
  <c r="AQ23" i="24"/>
  <c r="AN24" i="24"/>
  <c r="AO24" i="24"/>
  <c r="AP24" i="24"/>
  <c r="AQ24" i="24"/>
  <c r="AN25" i="24"/>
  <c r="AO25" i="24"/>
  <c r="AP25" i="24"/>
  <c r="AQ25" i="24"/>
  <c r="AN26" i="24"/>
  <c r="AO26" i="24"/>
  <c r="AP26" i="24"/>
  <c r="AQ26" i="24"/>
  <c r="AN27" i="24"/>
  <c r="AO27" i="24"/>
  <c r="AP27" i="24"/>
  <c r="AQ27" i="24"/>
  <c r="AN30" i="24"/>
  <c r="AO30" i="24"/>
  <c r="AP30" i="24"/>
  <c r="AQ30" i="24"/>
  <c r="AN31" i="24"/>
  <c r="AO31" i="24"/>
  <c r="AP31" i="24"/>
  <c r="AQ31" i="24"/>
  <c r="AN32" i="24"/>
  <c r="AO32" i="24"/>
  <c r="AP32" i="24"/>
  <c r="AQ32" i="24"/>
  <c r="AN33" i="24"/>
  <c r="AO33" i="24"/>
  <c r="AP33" i="24"/>
  <c r="AQ33" i="24"/>
  <c r="AN34" i="24"/>
  <c r="AO34" i="24"/>
  <c r="AP34" i="24"/>
  <c r="AQ34" i="24"/>
  <c r="AN37" i="24"/>
  <c r="AO37" i="24"/>
  <c r="AP37" i="24"/>
  <c r="AQ37" i="24"/>
  <c r="AN11" i="23"/>
  <c r="AO11" i="23"/>
  <c r="AP11" i="23"/>
  <c r="AQ11" i="23"/>
  <c r="AN12" i="23"/>
  <c r="AO12" i="23"/>
  <c r="AP12" i="23"/>
  <c r="AQ12" i="23"/>
  <c r="AN18" i="23"/>
  <c r="AO18" i="23"/>
  <c r="AP18" i="23"/>
  <c r="AQ18" i="23"/>
  <c r="AN19" i="23"/>
  <c r="AO19" i="23"/>
  <c r="AP19" i="23"/>
  <c r="AQ19" i="23"/>
  <c r="AN25" i="23"/>
  <c r="AO25" i="23"/>
  <c r="AP25" i="23"/>
  <c r="AQ25" i="23"/>
  <c r="AN26" i="23"/>
  <c r="AO26" i="23"/>
  <c r="AP26" i="23"/>
  <c r="AQ26" i="23"/>
  <c r="AN32" i="23"/>
  <c r="AO32" i="23"/>
  <c r="AP32" i="23"/>
  <c r="AQ32" i="23"/>
  <c r="AN33" i="23"/>
  <c r="AO33" i="23"/>
  <c r="AP33" i="23"/>
  <c r="AQ33" i="23"/>
  <c r="AN10" i="23"/>
  <c r="AO10" i="23"/>
  <c r="AP10" i="23"/>
  <c r="AQ10" i="23"/>
  <c r="AN13" i="23"/>
  <c r="AO13" i="23"/>
  <c r="AP13" i="23"/>
  <c r="AQ13" i="23"/>
  <c r="AN14" i="23"/>
  <c r="AO14" i="23"/>
  <c r="AP14" i="23"/>
  <c r="AQ14" i="23"/>
  <c r="AN15" i="23"/>
  <c r="AO15" i="23"/>
  <c r="AP15" i="23"/>
  <c r="AQ15" i="23"/>
  <c r="AN16" i="23"/>
  <c r="AO16" i="23"/>
  <c r="AP16" i="23"/>
  <c r="AQ16" i="23"/>
  <c r="AN17" i="23"/>
  <c r="AO17" i="23"/>
  <c r="AP17" i="23"/>
  <c r="AQ17" i="23"/>
  <c r="AN20" i="23"/>
  <c r="AO20" i="23"/>
  <c r="AP20" i="23"/>
  <c r="AQ20" i="23"/>
  <c r="AN21" i="23"/>
  <c r="AO21" i="23"/>
  <c r="AP21" i="23"/>
  <c r="AQ21" i="23"/>
  <c r="AN22" i="23"/>
  <c r="AO22" i="23"/>
  <c r="AP22" i="23"/>
  <c r="AQ22" i="23"/>
  <c r="AN23" i="23"/>
  <c r="AO23" i="23"/>
  <c r="AP23" i="23"/>
  <c r="AQ23" i="23"/>
  <c r="AN24" i="23"/>
  <c r="AO24" i="23"/>
  <c r="AP24" i="23"/>
  <c r="AQ24" i="23"/>
  <c r="AN27" i="23"/>
  <c r="AO27" i="23"/>
  <c r="AP27" i="23"/>
  <c r="AQ27" i="23"/>
  <c r="AN28" i="23"/>
  <c r="AO28" i="23"/>
  <c r="AP28" i="23"/>
  <c r="AQ28" i="23"/>
  <c r="AN29" i="23"/>
  <c r="AO29" i="23"/>
  <c r="AP29" i="23"/>
  <c r="AQ29" i="23"/>
  <c r="AN30" i="23"/>
  <c r="AO30" i="23"/>
  <c r="AP30" i="23"/>
  <c r="AQ30" i="23"/>
  <c r="AN31" i="23"/>
  <c r="AO31" i="23"/>
  <c r="AP31" i="23"/>
  <c r="AQ31" i="23"/>
  <c r="AN34" i="23"/>
  <c r="AO34" i="23"/>
  <c r="AP34" i="23"/>
  <c r="AQ34" i="23"/>
  <c r="AN35" i="23"/>
  <c r="AO35" i="23"/>
  <c r="AP35" i="23"/>
  <c r="AQ35" i="23"/>
  <c r="AN20" i="26"/>
  <c r="AO20" i="26"/>
  <c r="AP20" i="26"/>
  <c r="AQ20" i="26"/>
  <c r="AN21" i="26"/>
  <c r="AO21" i="26"/>
  <c r="AP21" i="26"/>
  <c r="AQ21" i="26"/>
  <c r="AN27" i="26"/>
  <c r="AO27" i="26"/>
  <c r="AP27" i="26"/>
  <c r="AQ27" i="26"/>
  <c r="AN28" i="26"/>
  <c r="AO28" i="26"/>
  <c r="AP28" i="26"/>
  <c r="AQ28" i="26"/>
  <c r="AN34" i="26"/>
  <c r="AO34" i="26"/>
  <c r="AP34" i="26"/>
  <c r="AQ34" i="26"/>
  <c r="AN35" i="26"/>
  <c r="AO35" i="26"/>
  <c r="AP35" i="26"/>
  <c r="AQ35" i="26"/>
  <c r="AN22" i="26"/>
  <c r="AO22" i="26"/>
  <c r="AP22" i="26"/>
  <c r="AQ22" i="26"/>
  <c r="AN23" i="26"/>
  <c r="AO23" i="26"/>
  <c r="AP23" i="26"/>
  <c r="AQ23" i="26"/>
  <c r="AN24" i="26"/>
  <c r="AO24" i="26"/>
  <c r="AP24" i="26"/>
  <c r="AQ24" i="26"/>
  <c r="AN25" i="26"/>
  <c r="AO25" i="26"/>
  <c r="AP25" i="26"/>
  <c r="AQ25" i="26"/>
  <c r="AN26" i="26"/>
  <c r="AO26" i="26"/>
  <c r="AP26" i="26"/>
  <c r="AQ26" i="26"/>
  <c r="AN29" i="26"/>
  <c r="AO29" i="26"/>
  <c r="AP29" i="26"/>
  <c r="AQ29" i="26"/>
  <c r="AN30" i="26"/>
  <c r="AO30" i="26"/>
  <c r="AP30" i="26"/>
  <c r="AQ30" i="26"/>
  <c r="AN31" i="26"/>
  <c r="AO31" i="26"/>
  <c r="AP31" i="26"/>
  <c r="AQ31" i="26"/>
  <c r="AN32" i="26"/>
  <c r="AO32" i="26"/>
  <c r="AP32" i="26"/>
  <c r="AQ32" i="26"/>
  <c r="AN33" i="26"/>
  <c r="AO33" i="26"/>
  <c r="AP33" i="26"/>
  <c r="AQ33" i="26"/>
  <c r="AN36" i="26"/>
  <c r="AO36" i="26"/>
  <c r="AP36" i="26"/>
  <c r="AQ36" i="26"/>
  <c r="AO11" i="27"/>
  <c r="AP11" i="27"/>
  <c r="AQ11" i="27"/>
  <c r="AR11" i="27"/>
  <c r="AO12" i="27"/>
  <c r="AP12" i="27"/>
  <c r="AQ12" i="27"/>
  <c r="AR12" i="27"/>
  <c r="AO13" i="27"/>
  <c r="AP13" i="27"/>
  <c r="AQ13" i="27"/>
  <c r="AR13" i="27"/>
  <c r="AO18" i="27"/>
  <c r="AP18" i="27"/>
  <c r="AQ18" i="27"/>
  <c r="AR18" i="27"/>
  <c r="AO19" i="27"/>
  <c r="AP19" i="27"/>
  <c r="AQ19" i="27"/>
  <c r="AR19" i="27"/>
  <c r="AO25" i="27"/>
  <c r="AP25" i="27"/>
  <c r="AQ25" i="27"/>
  <c r="AR25" i="27"/>
  <c r="AO26" i="27"/>
  <c r="AP26" i="27"/>
  <c r="AQ26" i="27"/>
  <c r="AR26" i="27"/>
  <c r="AO32" i="27"/>
  <c r="AP32" i="27"/>
  <c r="AQ32" i="27"/>
  <c r="AR32" i="27"/>
  <c r="AO14" i="27"/>
  <c r="AP14" i="27"/>
  <c r="AQ14" i="27"/>
  <c r="AR14" i="27"/>
  <c r="AO15" i="27"/>
  <c r="AP15" i="27"/>
  <c r="AQ15" i="27"/>
  <c r="AR15" i="27"/>
  <c r="AO16" i="27"/>
  <c r="AP16" i="27"/>
  <c r="AQ16" i="27"/>
  <c r="AR16" i="27"/>
  <c r="AO17" i="27"/>
  <c r="AP17" i="27"/>
  <c r="AQ17" i="27"/>
  <c r="AR17" i="27"/>
  <c r="AO20" i="27"/>
  <c r="AP20" i="27"/>
  <c r="AQ20" i="27"/>
  <c r="AR20" i="27"/>
  <c r="AO21" i="27"/>
  <c r="AP21" i="27"/>
  <c r="AQ21" i="27"/>
  <c r="AR21" i="27"/>
  <c r="AO22" i="27"/>
  <c r="AP22" i="27"/>
  <c r="AQ22" i="27"/>
  <c r="AR22" i="27"/>
  <c r="AO23" i="27"/>
  <c r="AP23" i="27"/>
  <c r="AQ23" i="27"/>
  <c r="AR23" i="27"/>
  <c r="AO24" i="27"/>
  <c r="AP24" i="27"/>
  <c r="AQ24" i="27"/>
  <c r="AR24" i="27"/>
  <c r="AO27" i="27"/>
  <c r="AP27" i="27"/>
  <c r="AQ27" i="27"/>
  <c r="AR27" i="27"/>
  <c r="AO28" i="27"/>
  <c r="AP28" i="27"/>
  <c r="AQ28" i="27"/>
  <c r="AR28" i="27"/>
  <c r="AO29" i="27"/>
  <c r="AP29" i="27"/>
  <c r="AQ29" i="27"/>
  <c r="AR29" i="27"/>
  <c r="AO30" i="27"/>
  <c r="AP30" i="27"/>
  <c r="AQ30" i="27"/>
  <c r="AR30" i="27"/>
  <c r="AO31" i="27"/>
  <c r="AP31" i="27"/>
  <c r="AQ31" i="27"/>
  <c r="AR31" i="27"/>
  <c r="AO9" i="27"/>
  <c r="AP9" i="27"/>
  <c r="AQ9" i="27"/>
  <c r="AR9" i="27"/>
  <c r="AO10" i="27"/>
  <c r="AP10" i="27"/>
  <c r="AQ10" i="27"/>
  <c r="AR10" i="27"/>
  <c r="AO33" i="27"/>
  <c r="AP33" i="27"/>
  <c r="AQ33" i="27"/>
  <c r="AR33" i="27"/>
  <c r="AO34" i="27"/>
  <c r="AP34" i="27"/>
  <c r="AQ34" i="27"/>
  <c r="AR34" i="27"/>
  <c r="M30" i="27"/>
  <c r="N30" i="27"/>
  <c r="O30" i="27"/>
  <c r="P30" i="27"/>
  <c r="M23" i="27"/>
  <c r="N23" i="27"/>
  <c r="O23" i="27"/>
  <c r="P23" i="27"/>
  <c r="M32" i="26"/>
  <c r="N32" i="26"/>
  <c r="O32" i="26"/>
  <c r="P32" i="26"/>
  <c r="M25" i="26"/>
  <c r="N25" i="26"/>
  <c r="O25" i="26"/>
  <c r="P25" i="26"/>
  <c r="M18" i="26"/>
  <c r="N18" i="26"/>
  <c r="O18" i="26"/>
  <c r="P18" i="26"/>
  <c r="M35" i="25"/>
  <c r="N35" i="25"/>
  <c r="O35" i="25"/>
  <c r="P35" i="25"/>
  <c r="M28" i="25"/>
  <c r="N28" i="25"/>
  <c r="O28" i="25"/>
  <c r="P28" i="25"/>
  <c r="M21" i="25"/>
  <c r="N21" i="25"/>
  <c r="O21" i="25"/>
  <c r="P21" i="25"/>
  <c r="M14" i="25"/>
  <c r="N14" i="25"/>
  <c r="O14" i="25"/>
  <c r="P14" i="25"/>
  <c r="M37" i="23"/>
  <c r="N37" i="23"/>
  <c r="O37" i="23"/>
  <c r="P37" i="23"/>
  <c r="M30" i="23"/>
  <c r="N30" i="23"/>
  <c r="O30" i="23"/>
  <c r="P30" i="23"/>
  <c r="M23" i="23"/>
  <c r="N23" i="23"/>
  <c r="O23" i="23"/>
  <c r="P23" i="23"/>
  <c r="M33" i="24"/>
  <c r="N33" i="24"/>
  <c r="O33" i="24"/>
  <c r="P33" i="24"/>
  <c r="M26" i="24"/>
  <c r="N26" i="24"/>
  <c r="O26" i="24"/>
  <c r="P26" i="24"/>
  <c r="M19" i="24"/>
  <c r="N19" i="24"/>
  <c r="O19" i="24"/>
  <c r="P19" i="24"/>
  <c r="M13" i="21"/>
  <c r="N13" i="21"/>
  <c r="O13" i="21"/>
  <c r="BM34" i="20"/>
  <c r="BN34" i="20"/>
  <c r="BM33" i="20"/>
  <c r="BN33" i="20"/>
  <c r="BM27" i="20"/>
  <c r="BN27" i="20"/>
  <c r="BM26" i="20"/>
  <c r="BN26" i="20"/>
  <c r="BM20" i="20"/>
  <c r="BN20" i="20"/>
  <c r="BM13" i="20"/>
  <c r="BN13" i="20"/>
  <c r="M12" i="20"/>
  <c r="N12" i="20"/>
  <c r="O12" i="20"/>
  <c r="P12" i="20"/>
  <c r="BM12" i="20"/>
  <c r="BN12" i="20"/>
  <c r="BL12" i="20"/>
  <c r="C12" i="20"/>
  <c r="D12" i="20"/>
  <c r="E12" i="20"/>
  <c r="F12" i="20"/>
  <c r="C14" i="19"/>
  <c r="D14" i="19"/>
  <c r="E14" i="19"/>
  <c r="F14" i="19"/>
  <c r="C13" i="19"/>
  <c r="D13" i="19"/>
  <c r="E13" i="19"/>
  <c r="F13" i="19"/>
  <c r="AN9" i="19"/>
  <c r="AO9" i="19"/>
  <c r="AP9" i="19"/>
  <c r="AQ9" i="19"/>
  <c r="AQ39" i="19"/>
  <c r="M25" i="5"/>
  <c r="N25" i="5"/>
  <c r="O25" i="5"/>
  <c r="P25" i="5"/>
  <c r="BN25" i="5"/>
  <c r="BO25" i="5"/>
  <c r="M18" i="5"/>
  <c r="N18" i="5"/>
  <c r="O18" i="5"/>
  <c r="P18" i="5"/>
  <c r="BN18" i="5"/>
  <c r="BO18" i="5"/>
  <c r="AE11" i="5"/>
  <c r="AF11" i="5"/>
  <c r="AG11" i="5"/>
  <c r="AH11" i="5"/>
  <c r="A8" i="16"/>
  <c r="V12" i="5"/>
  <c r="W12" i="5"/>
  <c r="X12" i="5"/>
  <c r="Y12" i="5"/>
  <c r="V13" i="5"/>
  <c r="W13" i="5"/>
  <c r="X13" i="5"/>
  <c r="Y13" i="5"/>
  <c r="V14" i="5"/>
  <c r="W14" i="5"/>
  <c r="X14" i="5"/>
  <c r="Y14" i="5"/>
  <c r="V15" i="5"/>
  <c r="W15" i="5"/>
  <c r="X15" i="5"/>
  <c r="Y15" i="5"/>
  <c r="V16" i="5"/>
  <c r="W16" i="5"/>
  <c r="X16" i="5"/>
  <c r="Y16" i="5"/>
  <c r="V17" i="5"/>
  <c r="W17" i="5"/>
  <c r="X17" i="5"/>
  <c r="Y17" i="5"/>
  <c r="V18" i="5"/>
  <c r="W18" i="5"/>
  <c r="X18" i="5"/>
  <c r="Y18" i="5"/>
  <c r="V19" i="5"/>
  <c r="W19" i="5"/>
  <c r="X19" i="5"/>
  <c r="Y19" i="5"/>
  <c r="V20" i="5"/>
  <c r="W20" i="5"/>
  <c r="X20" i="5"/>
  <c r="Y20" i="5"/>
  <c r="V21" i="5"/>
  <c r="W21" i="5"/>
  <c r="X21" i="5"/>
  <c r="Y21" i="5"/>
  <c r="V22" i="5"/>
  <c r="W22" i="5"/>
  <c r="X22" i="5"/>
  <c r="Y22" i="5"/>
  <c r="V23" i="5"/>
  <c r="W23" i="5"/>
  <c r="X23" i="5"/>
  <c r="Y23" i="5"/>
  <c r="V24" i="5"/>
  <c r="W24" i="5"/>
  <c r="X24" i="5"/>
  <c r="Y24" i="5"/>
  <c r="V25" i="5"/>
  <c r="W25" i="5"/>
  <c r="X25" i="5"/>
  <c r="Y25" i="5"/>
  <c r="V26" i="5"/>
  <c r="W26" i="5"/>
  <c r="X26" i="5"/>
  <c r="Y26" i="5"/>
  <c r="V27" i="5"/>
  <c r="W27" i="5"/>
  <c r="X27" i="5"/>
  <c r="Y27" i="5"/>
  <c r="V28" i="5"/>
  <c r="W28" i="5"/>
  <c r="X28" i="5"/>
  <c r="Y28" i="5"/>
  <c r="V29" i="5"/>
  <c r="W29" i="5"/>
  <c r="X29" i="5"/>
  <c r="Y29" i="5"/>
  <c r="V30" i="5"/>
  <c r="W30" i="5"/>
  <c r="X30" i="5"/>
  <c r="Y30" i="5"/>
  <c r="V31" i="5"/>
  <c r="W31" i="5"/>
  <c r="X31" i="5"/>
  <c r="Y31" i="5"/>
  <c r="V32" i="5"/>
  <c r="W32" i="5"/>
  <c r="X32" i="5"/>
  <c r="Y32" i="5"/>
  <c r="V33" i="5"/>
  <c r="W33" i="5"/>
  <c r="X33" i="5"/>
  <c r="Y33" i="5"/>
  <c r="V34" i="5"/>
  <c r="W34" i="5"/>
  <c r="X34" i="5"/>
  <c r="Y34" i="5"/>
  <c r="V35" i="5"/>
  <c r="W35" i="5"/>
  <c r="X35" i="5"/>
  <c r="Y35" i="5"/>
  <c r="V36" i="5"/>
  <c r="W36" i="5"/>
  <c r="X36" i="5"/>
  <c r="Y36" i="5"/>
  <c r="V37" i="5"/>
  <c r="W37" i="5"/>
  <c r="X37" i="5"/>
  <c r="Y37" i="5"/>
  <c r="V38" i="5"/>
  <c r="W38" i="5"/>
  <c r="X38" i="5"/>
  <c r="Y38" i="5"/>
  <c r="V39" i="5"/>
  <c r="W39" i="5"/>
  <c r="X39" i="5"/>
  <c r="Y39" i="5"/>
  <c r="V18" i="1"/>
  <c r="W18" i="1"/>
  <c r="X18" i="1"/>
  <c r="Y18" i="1"/>
  <c r="V9" i="1"/>
  <c r="W9" i="1"/>
  <c r="X9" i="1"/>
  <c r="Y9" i="1"/>
  <c r="V10" i="1"/>
  <c r="W10" i="1"/>
  <c r="X10" i="1"/>
  <c r="Y10" i="1"/>
  <c r="V11" i="1"/>
  <c r="W11" i="1"/>
  <c r="X11" i="1"/>
  <c r="Y11" i="1"/>
  <c r="V12" i="1"/>
  <c r="W12" i="1"/>
  <c r="X12" i="1"/>
  <c r="Y12" i="1"/>
  <c r="V13" i="1"/>
  <c r="W13" i="1"/>
  <c r="X13" i="1"/>
  <c r="Y13" i="1"/>
  <c r="V14" i="1"/>
  <c r="W14" i="1"/>
  <c r="X14" i="1"/>
  <c r="Y14" i="1"/>
  <c r="V15" i="1"/>
  <c r="W15" i="1"/>
  <c r="X15" i="1"/>
  <c r="Y15" i="1"/>
  <c r="V16" i="1"/>
  <c r="W16" i="1"/>
  <c r="X16" i="1"/>
  <c r="Y16" i="1"/>
  <c r="V17" i="1"/>
  <c r="W17" i="1"/>
  <c r="X17" i="1"/>
  <c r="Y17" i="1"/>
  <c r="V19" i="1"/>
  <c r="W19" i="1"/>
  <c r="X19" i="1"/>
  <c r="Y19" i="1"/>
  <c r="V20" i="1"/>
  <c r="W20" i="1"/>
  <c r="X20" i="1"/>
  <c r="Y20" i="1"/>
  <c r="V21" i="1"/>
  <c r="W21" i="1"/>
  <c r="X21" i="1"/>
  <c r="Y21" i="1"/>
  <c r="V22" i="1"/>
  <c r="W22" i="1"/>
  <c r="X22" i="1"/>
  <c r="Y22" i="1"/>
  <c r="V23" i="1"/>
  <c r="W23" i="1"/>
  <c r="X23" i="1"/>
  <c r="Y23" i="1"/>
  <c r="V24" i="1"/>
  <c r="W24" i="1"/>
  <c r="X24" i="1"/>
  <c r="Y24" i="1"/>
  <c r="V25" i="1"/>
  <c r="W25" i="1"/>
  <c r="X25" i="1"/>
  <c r="Y25" i="1"/>
  <c r="V26" i="1"/>
  <c r="W26" i="1"/>
  <c r="X26" i="1"/>
  <c r="Y26" i="1"/>
  <c r="V27" i="1"/>
  <c r="W27" i="1"/>
  <c r="X27" i="1"/>
  <c r="Y27" i="1"/>
  <c r="V28" i="1"/>
  <c r="W28" i="1"/>
  <c r="X28" i="1"/>
  <c r="Y28" i="1"/>
  <c r="V29" i="1"/>
  <c r="W29" i="1"/>
  <c r="X29" i="1"/>
  <c r="Y29" i="1"/>
  <c r="V30" i="1"/>
  <c r="W30" i="1"/>
  <c r="X30" i="1"/>
  <c r="Y30" i="1"/>
  <c r="V31" i="1"/>
  <c r="W31" i="1"/>
  <c r="X31" i="1"/>
  <c r="Y31" i="1"/>
  <c r="V32" i="1"/>
  <c r="W32" i="1"/>
  <c r="X32" i="1"/>
  <c r="Y32" i="1"/>
  <c r="V33" i="1"/>
  <c r="W33" i="1"/>
  <c r="X33" i="1"/>
  <c r="Y33" i="1"/>
  <c r="V34" i="1"/>
  <c r="W34" i="1"/>
  <c r="X34" i="1"/>
  <c r="Y34" i="1"/>
  <c r="V35" i="1"/>
  <c r="W35" i="1"/>
  <c r="X35" i="1"/>
  <c r="Y35" i="1"/>
  <c r="V36" i="1"/>
  <c r="W36" i="1"/>
  <c r="X36" i="1"/>
  <c r="Y36" i="1"/>
  <c r="V37" i="1"/>
  <c r="W37" i="1"/>
  <c r="X37" i="1"/>
  <c r="Y37" i="1"/>
  <c r="V9" i="19"/>
  <c r="W9" i="19"/>
  <c r="X9" i="19"/>
  <c r="Y9" i="19"/>
  <c r="AE9" i="19"/>
  <c r="AF9" i="19"/>
  <c r="AG9" i="19"/>
  <c r="AH9" i="19"/>
  <c r="AE18" i="1"/>
  <c r="AF18" i="1"/>
  <c r="AG18" i="1"/>
  <c r="AH18" i="1"/>
  <c r="AE19" i="1"/>
  <c r="AF19" i="1"/>
  <c r="AG19" i="1"/>
  <c r="AH19" i="1"/>
  <c r="AE9" i="1"/>
  <c r="AF9" i="1"/>
  <c r="AG9" i="1"/>
  <c r="AH9" i="1"/>
  <c r="AE10" i="1"/>
  <c r="AF10" i="1"/>
  <c r="AG10" i="1"/>
  <c r="AH10" i="1"/>
  <c r="AE11" i="1"/>
  <c r="AF11" i="1"/>
  <c r="AG11" i="1"/>
  <c r="AH11" i="1"/>
  <c r="AE12" i="1"/>
  <c r="AF12" i="1"/>
  <c r="AG12" i="1"/>
  <c r="AH12" i="1"/>
  <c r="AE13" i="1"/>
  <c r="AF13" i="1"/>
  <c r="AG13" i="1"/>
  <c r="AH13" i="1"/>
  <c r="AE14" i="1"/>
  <c r="AF14" i="1"/>
  <c r="AG14" i="1"/>
  <c r="AH14" i="1"/>
  <c r="AE15" i="1"/>
  <c r="AF15" i="1"/>
  <c r="AG15" i="1"/>
  <c r="AH15" i="1"/>
  <c r="AE16" i="1"/>
  <c r="AF16" i="1"/>
  <c r="AG16" i="1"/>
  <c r="AH16" i="1"/>
  <c r="AE17" i="1"/>
  <c r="AF17" i="1"/>
  <c r="AG17" i="1"/>
  <c r="AH17" i="1"/>
  <c r="AE20" i="1"/>
  <c r="AF20" i="1"/>
  <c r="AG20" i="1"/>
  <c r="AH20" i="1"/>
  <c r="AE21" i="1"/>
  <c r="AF21" i="1"/>
  <c r="AG21" i="1"/>
  <c r="AH21" i="1"/>
  <c r="AE22" i="1"/>
  <c r="AF22" i="1"/>
  <c r="AG22" i="1"/>
  <c r="AH22" i="1"/>
  <c r="AE23" i="1"/>
  <c r="AF23" i="1"/>
  <c r="AG23" i="1"/>
  <c r="AH23" i="1"/>
  <c r="AE24" i="1"/>
  <c r="AF24" i="1"/>
  <c r="AG24" i="1"/>
  <c r="AH24" i="1"/>
  <c r="AE25" i="1"/>
  <c r="AF25" i="1"/>
  <c r="AG25" i="1"/>
  <c r="AH25" i="1"/>
  <c r="AE26" i="1"/>
  <c r="AF26" i="1"/>
  <c r="AG26" i="1"/>
  <c r="AH26" i="1"/>
  <c r="AE27" i="1"/>
  <c r="AF27" i="1"/>
  <c r="AG27" i="1"/>
  <c r="AH27" i="1"/>
  <c r="AE28" i="1"/>
  <c r="AF28" i="1"/>
  <c r="AG28" i="1"/>
  <c r="AH28" i="1"/>
  <c r="AE29" i="1"/>
  <c r="AF29" i="1"/>
  <c r="AG29" i="1"/>
  <c r="AH29" i="1"/>
  <c r="AE30" i="1"/>
  <c r="AF30" i="1"/>
  <c r="AG30" i="1"/>
  <c r="AH30" i="1"/>
  <c r="AE31" i="1"/>
  <c r="AF31" i="1"/>
  <c r="AG31" i="1"/>
  <c r="AH31" i="1"/>
  <c r="AE32" i="1"/>
  <c r="AF32" i="1"/>
  <c r="AG32" i="1"/>
  <c r="AH32" i="1"/>
  <c r="AE33" i="1"/>
  <c r="AF33" i="1"/>
  <c r="AG33" i="1"/>
  <c r="AH33" i="1"/>
  <c r="AE34" i="1"/>
  <c r="AF34" i="1"/>
  <c r="AG34" i="1"/>
  <c r="AH34" i="1"/>
  <c r="AE35" i="1"/>
  <c r="AF35" i="1"/>
  <c r="AG35" i="1"/>
  <c r="AH35" i="1"/>
  <c r="AE36" i="1"/>
  <c r="AF36" i="1"/>
  <c r="AG36" i="1"/>
  <c r="AH36" i="1"/>
  <c r="AE37" i="1"/>
  <c r="AF37" i="1"/>
  <c r="AG37" i="1"/>
  <c r="AH37" i="1"/>
  <c r="AE14" i="5"/>
  <c r="AF14" i="5"/>
  <c r="AG14" i="5"/>
  <c r="AH14" i="5"/>
  <c r="AE12" i="5"/>
  <c r="AF12" i="5"/>
  <c r="AG12" i="5"/>
  <c r="AH12" i="5"/>
  <c r="AE13" i="5"/>
  <c r="AF13" i="5"/>
  <c r="AG13" i="5"/>
  <c r="AH13" i="5"/>
  <c r="AE15" i="5"/>
  <c r="AF15" i="5"/>
  <c r="AG15" i="5"/>
  <c r="AH15" i="5"/>
  <c r="AE16" i="5"/>
  <c r="AF16" i="5"/>
  <c r="AG16" i="5"/>
  <c r="AH16" i="5"/>
  <c r="AE17" i="5"/>
  <c r="AF17" i="5"/>
  <c r="AG17" i="5"/>
  <c r="AH17" i="5"/>
  <c r="AE18" i="5"/>
  <c r="AF18" i="5"/>
  <c r="AG18" i="5"/>
  <c r="AH18" i="5"/>
  <c r="AE19" i="5"/>
  <c r="AF19" i="5"/>
  <c r="AG19" i="5"/>
  <c r="AH19" i="5"/>
  <c r="AE20" i="5"/>
  <c r="AF20" i="5"/>
  <c r="AG20" i="5"/>
  <c r="AH20" i="5"/>
  <c r="AE21" i="5"/>
  <c r="AF21" i="5"/>
  <c r="AG21" i="5"/>
  <c r="AH21" i="5"/>
  <c r="AE22" i="5"/>
  <c r="AF22" i="5"/>
  <c r="AG22" i="5"/>
  <c r="AH22" i="5"/>
  <c r="AE23" i="5"/>
  <c r="AF23" i="5"/>
  <c r="AG23" i="5"/>
  <c r="AH23" i="5"/>
  <c r="AE24" i="5"/>
  <c r="AF24" i="5"/>
  <c r="AG24" i="5"/>
  <c r="AH24" i="5"/>
  <c r="AE25" i="5"/>
  <c r="AF25" i="5"/>
  <c r="AG25" i="5"/>
  <c r="AH25" i="5"/>
  <c r="AE26" i="5"/>
  <c r="AF26" i="5"/>
  <c r="AG26" i="5"/>
  <c r="AH26" i="5"/>
  <c r="AE27" i="5"/>
  <c r="AF27" i="5"/>
  <c r="AG27" i="5"/>
  <c r="AH27" i="5"/>
  <c r="AE28" i="5"/>
  <c r="AF28" i="5"/>
  <c r="AG28" i="5"/>
  <c r="AH28" i="5"/>
  <c r="AE29" i="5"/>
  <c r="AF29" i="5"/>
  <c r="AG29" i="5"/>
  <c r="AH29" i="5"/>
  <c r="AE30" i="5"/>
  <c r="AF30" i="5"/>
  <c r="AG30" i="5"/>
  <c r="AH30" i="5"/>
  <c r="AE31" i="5"/>
  <c r="AF31" i="5"/>
  <c r="AG31" i="5"/>
  <c r="AH31" i="5"/>
  <c r="AE32" i="5"/>
  <c r="AF32" i="5"/>
  <c r="AG32" i="5"/>
  <c r="AH32" i="5"/>
  <c r="AE33" i="5"/>
  <c r="AF33" i="5"/>
  <c r="AG33" i="5"/>
  <c r="AH33" i="5"/>
  <c r="AE34" i="5"/>
  <c r="AF34" i="5"/>
  <c r="AG34" i="5"/>
  <c r="AH34" i="5"/>
  <c r="AE35" i="5"/>
  <c r="AF35" i="5"/>
  <c r="AG35" i="5"/>
  <c r="AH35" i="5"/>
  <c r="AE36" i="5"/>
  <c r="AF36" i="5"/>
  <c r="AG36" i="5"/>
  <c r="AH36" i="5"/>
  <c r="AE37" i="5"/>
  <c r="AF37" i="5"/>
  <c r="AG37" i="5"/>
  <c r="AH37" i="5"/>
  <c r="AE38" i="5"/>
  <c r="AF38" i="5"/>
  <c r="AG38" i="5"/>
  <c r="AH38" i="5"/>
  <c r="AE39" i="5"/>
  <c r="AF39" i="5"/>
  <c r="AG39" i="5"/>
  <c r="AH39" i="5"/>
  <c r="AF9" i="27"/>
  <c r="AG9" i="27"/>
  <c r="AH9" i="27"/>
  <c r="AI9" i="27"/>
  <c r="AF10" i="27"/>
  <c r="AG10" i="27"/>
  <c r="AH10" i="27"/>
  <c r="AI10" i="27"/>
  <c r="AF11" i="27"/>
  <c r="AG11" i="27"/>
  <c r="AH11" i="27"/>
  <c r="AI11" i="27"/>
  <c r="AF12" i="27"/>
  <c r="AG12" i="27"/>
  <c r="AH12" i="27"/>
  <c r="AI12" i="27"/>
  <c r="AF13" i="27"/>
  <c r="AG13" i="27"/>
  <c r="AH13" i="27"/>
  <c r="AI13" i="27"/>
  <c r="AF14" i="27"/>
  <c r="AG14" i="27"/>
  <c r="AH14" i="27"/>
  <c r="AI14" i="27"/>
  <c r="AF15" i="27"/>
  <c r="AG15" i="27"/>
  <c r="AH15" i="27"/>
  <c r="AI15" i="27"/>
  <c r="AF16" i="27"/>
  <c r="AG16" i="27"/>
  <c r="AH16" i="27"/>
  <c r="AI16" i="27"/>
  <c r="AF17" i="27"/>
  <c r="AG17" i="27"/>
  <c r="AH17" i="27"/>
  <c r="AI17" i="27"/>
  <c r="AF18" i="27"/>
  <c r="AG18" i="27"/>
  <c r="AH18" i="27"/>
  <c r="AI18" i="27"/>
  <c r="AF19" i="27"/>
  <c r="AG19" i="27"/>
  <c r="AH19" i="27"/>
  <c r="AI19" i="27"/>
  <c r="AF20" i="27"/>
  <c r="AG20" i="27"/>
  <c r="AH20" i="27"/>
  <c r="AI20" i="27"/>
  <c r="AF21" i="27"/>
  <c r="AG21" i="27"/>
  <c r="AH21" i="27"/>
  <c r="AI21" i="27"/>
  <c r="AF22" i="27"/>
  <c r="AG22" i="27"/>
  <c r="AH22" i="27"/>
  <c r="AI22" i="27"/>
  <c r="AF23" i="27"/>
  <c r="AG23" i="27"/>
  <c r="AH23" i="27"/>
  <c r="AI23" i="27"/>
  <c r="AF24" i="27"/>
  <c r="AG24" i="27"/>
  <c r="AH24" i="27"/>
  <c r="AI24" i="27"/>
  <c r="AF25" i="27"/>
  <c r="AG25" i="27"/>
  <c r="AH25" i="27"/>
  <c r="AI25" i="27"/>
  <c r="AF26" i="27"/>
  <c r="AG26" i="27"/>
  <c r="AH26" i="27"/>
  <c r="AI26" i="27"/>
  <c r="AF27" i="27"/>
  <c r="AG27" i="27"/>
  <c r="AH27" i="27"/>
  <c r="AI27" i="27"/>
  <c r="AF28" i="27"/>
  <c r="AG28" i="27"/>
  <c r="AH28" i="27"/>
  <c r="AI28" i="27"/>
  <c r="AF29" i="27"/>
  <c r="AG29" i="27"/>
  <c r="AH29" i="27"/>
  <c r="AI29" i="27"/>
  <c r="AF30" i="27"/>
  <c r="AG30" i="27"/>
  <c r="AH30" i="27"/>
  <c r="AI30" i="27"/>
  <c r="AF31" i="27"/>
  <c r="AG31" i="27"/>
  <c r="AH31" i="27"/>
  <c r="AI31" i="27"/>
  <c r="AF32" i="27"/>
  <c r="AG32" i="27"/>
  <c r="AH32" i="27"/>
  <c r="AI32" i="27"/>
  <c r="AF33" i="27"/>
  <c r="AG33" i="27"/>
  <c r="AH33" i="27"/>
  <c r="AI33" i="27"/>
  <c r="AF34" i="27"/>
  <c r="AG34" i="27"/>
  <c r="AH34" i="27"/>
  <c r="AI34" i="27"/>
  <c r="AF35" i="27"/>
  <c r="AG35" i="27"/>
  <c r="AH35" i="27"/>
  <c r="AI35" i="27"/>
  <c r="AF36" i="27"/>
  <c r="AG36" i="27"/>
  <c r="AH36" i="27"/>
  <c r="AI36" i="27"/>
  <c r="AF37" i="27"/>
  <c r="AG37" i="27"/>
  <c r="AH37" i="27"/>
  <c r="AI37" i="27"/>
  <c r="AF38" i="27"/>
  <c r="AG38" i="27"/>
  <c r="AH38" i="27"/>
  <c r="AI38" i="27"/>
  <c r="AF39" i="27"/>
  <c r="AG39" i="27"/>
  <c r="AH39" i="27"/>
  <c r="AI39" i="27"/>
  <c r="AE37" i="25"/>
  <c r="AF37" i="25"/>
  <c r="AG37" i="25"/>
  <c r="AH37" i="25"/>
  <c r="W9" i="27"/>
  <c r="X9" i="27"/>
  <c r="Y9" i="27"/>
  <c r="Z9" i="27"/>
  <c r="W10" i="27"/>
  <c r="X10" i="27"/>
  <c r="Y10" i="27"/>
  <c r="Z10" i="27"/>
  <c r="W11" i="27"/>
  <c r="X11" i="27"/>
  <c r="Y11" i="27"/>
  <c r="Z11" i="27"/>
  <c r="W12" i="27"/>
  <c r="X12" i="27"/>
  <c r="Y12" i="27"/>
  <c r="Z12" i="27"/>
  <c r="W13" i="27"/>
  <c r="X13" i="27"/>
  <c r="Y13" i="27"/>
  <c r="Z13" i="27"/>
  <c r="W14" i="27"/>
  <c r="X14" i="27"/>
  <c r="Y14" i="27"/>
  <c r="Z14" i="27"/>
  <c r="W15" i="27"/>
  <c r="X15" i="27"/>
  <c r="Y15" i="27"/>
  <c r="Z15" i="27"/>
  <c r="W16" i="27"/>
  <c r="X16" i="27"/>
  <c r="Y16" i="27"/>
  <c r="Z16" i="27"/>
  <c r="W17" i="27"/>
  <c r="X17" i="27"/>
  <c r="Y17" i="27"/>
  <c r="Z17" i="27"/>
  <c r="W18" i="27"/>
  <c r="X18" i="27"/>
  <c r="Y18" i="27"/>
  <c r="Z18" i="27"/>
  <c r="W19" i="27"/>
  <c r="X19" i="27"/>
  <c r="Y19" i="27"/>
  <c r="Z19" i="27"/>
  <c r="W20" i="27"/>
  <c r="X20" i="27"/>
  <c r="Y20" i="27"/>
  <c r="Z20" i="27"/>
  <c r="W21" i="27"/>
  <c r="X21" i="27"/>
  <c r="Y21" i="27"/>
  <c r="Z21" i="27"/>
  <c r="W22" i="27"/>
  <c r="X22" i="27"/>
  <c r="Y22" i="27"/>
  <c r="Z22" i="27"/>
  <c r="W23" i="27"/>
  <c r="X23" i="27"/>
  <c r="Y23" i="27"/>
  <c r="Z23" i="27"/>
  <c r="W24" i="27"/>
  <c r="X24" i="27"/>
  <c r="Y24" i="27"/>
  <c r="Z24" i="27"/>
  <c r="W25" i="27"/>
  <c r="X25" i="27"/>
  <c r="Y25" i="27"/>
  <c r="Z25" i="27"/>
  <c r="W26" i="27"/>
  <c r="X26" i="27"/>
  <c r="Y26" i="27"/>
  <c r="Z26" i="27"/>
  <c r="W27" i="27"/>
  <c r="X27" i="27"/>
  <c r="Y27" i="27"/>
  <c r="Z27" i="27"/>
  <c r="W28" i="27"/>
  <c r="X28" i="27"/>
  <c r="Y28" i="27"/>
  <c r="Z28" i="27"/>
  <c r="W29" i="27"/>
  <c r="X29" i="27"/>
  <c r="Y29" i="27"/>
  <c r="Z29" i="27"/>
  <c r="W30" i="27"/>
  <c r="X30" i="27"/>
  <c r="Y30" i="27"/>
  <c r="Z30" i="27"/>
  <c r="W31" i="27"/>
  <c r="X31" i="27"/>
  <c r="Y31" i="27"/>
  <c r="Z31" i="27"/>
  <c r="W32" i="27"/>
  <c r="X32" i="27"/>
  <c r="Y32" i="27"/>
  <c r="Z32" i="27"/>
  <c r="W33" i="27"/>
  <c r="X33" i="27"/>
  <c r="Y33" i="27"/>
  <c r="Z33" i="27"/>
  <c r="W34" i="27"/>
  <c r="X34" i="27"/>
  <c r="Y34" i="27"/>
  <c r="Z34" i="27"/>
  <c r="W35" i="27"/>
  <c r="X35" i="27"/>
  <c r="Y35" i="27"/>
  <c r="Z35" i="27"/>
  <c r="W36" i="27"/>
  <c r="X36" i="27"/>
  <c r="Y36" i="27"/>
  <c r="Z36" i="27"/>
  <c r="W37" i="27"/>
  <c r="X37" i="27"/>
  <c r="Y37" i="27"/>
  <c r="Z37" i="27"/>
  <c r="W38" i="27"/>
  <c r="X38" i="27"/>
  <c r="Y38" i="27"/>
  <c r="Z38" i="27"/>
  <c r="W39" i="27"/>
  <c r="X39" i="27"/>
  <c r="Y39" i="27"/>
  <c r="Z39" i="27"/>
  <c r="V18" i="20"/>
  <c r="W18" i="20"/>
  <c r="X18" i="20"/>
  <c r="Y18" i="20"/>
  <c r="V15" i="18"/>
  <c r="W15" i="18"/>
  <c r="X15" i="18"/>
  <c r="Y15" i="18"/>
  <c r="V13" i="18"/>
  <c r="W13" i="18"/>
  <c r="X13" i="18"/>
  <c r="Y13" i="18"/>
  <c r="V14" i="19"/>
  <c r="W14" i="19"/>
  <c r="X14" i="19"/>
  <c r="Y14" i="19"/>
  <c r="R15" i="16"/>
  <c r="H19" i="16"/>
  <c r="A19" i="16"/>
  <c r="A18" i="16"/>
  <c r="B18" i="16"/>
  <c r="C18" i="16"/>
  <c r="D18" i="16"/>
  <c r="E18" i="16"/>
  <c r="B19" i="16"/>
  <c r="V19" i="20"/>
  <c r="W19" i="20"/>
  <c r="X19" i="20"/>
  <c r="Y19" i="20"/>
  <c r="V17" i="21"/>
  <c r="W17" i="21"/>
  <c r="X17" i="21"/>
  <c r="Y17" i="21"/>
  <c r="V15" i="22"/>
  <c r="W15" i="22"/>
  <c r="X15" i="22"/>
  <c r="Y15" i="22"/>
  <c r="V21" i="24"/>
  <c r="W21" i="24"/>
  <c r="X21" i="24"/>
  <c r="Y21" i="24"/>
  <c r="V24" i="23"/>
  <c r="W24" i="23"/>
  <c r="X24" i="23"/>
  <c r="Y24" i="23"/>
  <c r="V27" i="25"/>
  <c r="W27" i="25"/>
  <c r="X27" i="25"/>
  <c r="Y27" i="25"/>
  <c r="V25" i="26"/>
  <c r="W25" i="26"/>
  <c r="X25" i="26"/>
  <c r="Y25" i="26"/>
  <c r="N8" i="16"/>
  <c r="O8" i="16"/>
  <c r="AE12" i="18"/>
  <c r="AF12" i="18"/>
  <c r="AG12" i="18"/>
  <c r="AH12" i="18"/>
  <c r="AE14" i="19"/>
  <c r="AF14" i="19"/>
  <c r="AG14" i="19"/>
  <c r="AH14" i="19"/>
  <c r="O14" i="16"/>
  <c r="P14" i="16"/>
  <c r="Q14" i="16"/>
  <c r="R14" i="16"/>
  <c r="N14" i="16"/>
  <c r="AE23" i="26"/>
  <c r="AF23" i="26"/>
  <c r="AG23" i="26"/>
  <c r="AH23" i="26"/>
  <c r="AE20" i="25"/>
  <c r="AF20" i="25"/>
  <c r="AG20" i="25"/>
  <c r="AH20" i="25"/>
  <c r="AE21" i="23"/>
  <c r="AF21" i="23"/>
  <c r="AG21" i="23"/>
  <c r="AH21" i="23"/>
  <c r="AE10" i="24"/>
  <c r="AF10" i="24"/>
  <c r="AG10" i="24"/>
  <c r="AH10" i="24"/>
  <c r="AE16" i="22"/>
  <c r="AF16" i="22"/>
  <c r="AG16" i="22"/>
  <c r="AH16" i="22"/>
  <c r="AE18" i="21"/>
  <c r="AF18" i="21"/>
  <c r="AG18" i="21"/>
  <c r="AH18" i="21"/>
  <c r="AE18" i="20"/>
  <c r="AF18" i="20"/>
  <c r="AG18" i="20"/>
  <c r="AH18" i="20"/>
  <c r="N18" i="16"/>
  <c r="V22" i="20"/>
  <c r="W22" i="20"/>
  <c r="X22" i="20"/>
  <c r="Y22" i="20"/>
  <c r="V17" i="18"/>
  <c r="W17" i="18"/>
  <c r="X17" i="18"/>
  <c r="Y17" i="18"/>
  <c r="V15" i="19"/>
  <c r="W15" i="19"/>
  <c r="X15" i="19"/>
  <c r="Y15" i="19"/>
  <c r="V26" i="26"/>
  <c r="W26" i="26"/>
  <c r="X26" i="26"/>
  <c r="Y26" i="26"/>
  <c r="BM9" i="21"/>
  <c r="BN9" i="21"/>
  <c r="G28" i="16"/>
  <c r="AH19" i="16"/>
  <c r="AN12" i="1"/>
  <c r="AO12" i="1"/>
  <c r="AP12" i="1"/>
  <c r="AQ12" i="1"/>
  <c r="AN9" i="1"/>
  <c r="AO9" i="1"/>
  <c r="AP9" i="1"/>
  <c r="AQ9" i="1"/>
  <c r="AN10" i="1"/>
  <c r="AO10" i="1"/>
  <c r="AP10" i="1"/>
  <c r="AQ10" i="1"/>
  <c r="AN11" i="1"/>
  <c r="AO11" i="1"/>
  <c r="AP11" i="1"/>
  <c r="AQ11" i="1"/>
  <c r="AN9" i="21"/>
  <c r="AO9" i="21"/>
  <c r="AP9" i="21"/>
  <c r="AQ9" i="21"/>
  <c r="AO35" i="27"/>
  <c r="AP35" i="27"/>
  <c r="AQ35" i="27"/>
  <c r="AR35" i="27"/>
  <c r="M16" i="27"/>
  <c r="N16" i="27"/>
  <c r="O16" i="27"/>
  <c r="P16" i="27"/>
  <c r="M11" i="26"/>
  <c r="N11" i="26"/>
  <c r="O11" i="26"/>
  <c r="P11" i="26"/>
  <c r="BM21" i="23"/>
  <c r="BN21" i="23"/>
  <c r="M16" i="23"/>
  <c r="N16" i="23"/>
  <c r="O16" i="23"/>
  <c r="P16" i="23"/>
  <c r="BM10" i="24"/>
  <c r="BN10" i="24"/>
  <c r="C9" i="20"/>
  <c r="D9" i="20"/>
  <c r="E9" i="20"/>
  <c r="F9" i="20"/>
  <c r="BM30" i="18"/>
  <c r="BN30" i="18"/>
  <c r="BM23" i="18"/>
  <c r="BN23" i="18"/>
  <c r="P16" i="18"/>
  <c r="BM16" i="18"/>
  <c r="BN16" i="18"/>
  <c r="BM9" i="18"/>
  <c r="BN9" i="18"/>
  <c r="P17" i="18"/>
  <c r="P13" i="18"/>
  <c r="M9" i="1"/>
  <c r="N9" i="1" s="1"/>
  <c r="O9" i="1" s="1"/>
  <c r="P9" i="1" s="1"/>
  <c r="BM9" i="1" s="1"/>
  <c r="BN9" i="1" s="1"/>
  <c r="BM23" i="1"/>
  <c r="BN23" i="1"/>
  <c r="BN34" i="5"/>
  <c r="BO34" i="5"/>
  <c r="BN35" i="5"/>
  <c r="BO35" i="5"/>
  <c r="BN28" i="5"/>
  <c r="BO28" i="5"/>
  <c r="BN27" i="5"/>
  <c r="BO27" i="5"/>
  <c r="M26" i="5"/>
  <c r="N26" i="5" s="1"/>
  <c r="O26" i="5" s="1"/>
  <c r="P26" i="5" s="1"/>
  <c r="BN26" i="5" s="1"/>
  <c r="BO26" i="5" s="1"/>
  <c r="BN21" i="5"/>
  <c r="BO21" i="5"/>
  <c r="BN20" i="5"/>
  <c r="BO20" i="5"/>
  <c r="M19" i="5"/>
  <c r="N19" i="5"/>
  <c r="O19" i="5"/>
  <c r="P19" i="5"/>
  <c r="BN19" i="5"/>
  <c r="BO19" i="5"/>
  <c r="BN17" i="5"/>
  <c r="BO17" i="5"/>
  <c r="M14" i="5"/>
  <c r="N14" i="5"/>
  <c r="O14" i="5"/>
  <c r="BN14" i="5"/>
  <c r="BO14" i="5"/>
  <c r="M13" i="5"/>
  <c r="N13" i="5"/>
  <c r="O13" i="5"/>
  <c r="BN13" i="5"/>
  <c r="BO13" i="5"/>
  <c r="V11" i="18"/>
  <c r="V12" i="18"/>
  <c r="W12" i="18"/>
  <c r="X12" i="18"/>
  <c r="V14" i="18"/>
  <c r="AN9" i="18"/>
  <c r="AO9" i="18"/>
  <c r="AP9" i="18"/>
  <c r="AQ9" i="18"/>
  <c r="AN38" i="20"/>
  <c r="AO38" i="20"/>
  <c r="AP38" i="20"/>
  <c r="AQ38" i="20"/>
  <c r="AN39" i="20"/>
  <c r="AO39" i="20"/>
  <c r="AP39" i="20"/>
  <c r="AQ39" i="20"/>
  <c r="AE10" i="26"/>
  <c r="AF10" i="26"/>
  <c r="AG10" i="26"/>
  <c r="AH10" i="26"/>
  <c r="AE11" i="26"/>
  <c r="AF11" i="26"/>
  <c r="AG11" i="26"/>
  <c r="AH11" i="26"/>
  <c r="AE12" i="26"/>
  <c r="AF12" i="26"/>
  <c r="AG12" i="26"/>
  <c r="AH12" i="26"/>
  <c r="AE13" i="26"/>
  <c r="AF13" i="26"/>
  <c r="AG13" i="26"/>
  <c r="AH13" i="26"/>
  <c r="AE14" i="26"/>
  <c r="AF14" i="26"/>
  <c r="AG14" i="26"/>
  <c r="AH14" i="26"/>
  <c r="AE15" i="26"/>
  <c r="AF15" i="26"/>
  <c r="AG15" i="26"/>
  <c r="AH15" i="26"/>
  <c r="AE16" i="26"/>
  <c r="AF16" i="26"/>
  <c r="AG16" i="26"/>
  <c r="AH16" i="26"/>
  <c r="AE17" i="26"/>
  <c r="AF17" i="26"/>
  <c r="AG17" i="26"/>
  <c r="AH17" i="26"/>
  <c r="AE18" i="26"/>
  <c r="AF18" i="26"/>
  <c r="AG18" i="26"/>
  <c r="AH18" i="26"/>
  <c r="AE19" i="26"/>
  <c r="AF19" i="26"/>
  <c r="AG19" i="26"/>
  <c r="AH19" i="26"/>
  <c r="AE20" i="26"/>
  <c r="AF20" i="26"/>
  <c r="AG20" i="26"/>
  <c r="AH20" i="26"/>
  <c r="AE21" i="26"/>
  <c r="AF21" i="26"/>
  <c r="AG21" i="26"/>
  <c r="AH21" i="26"/>
  <c r="AE22" i="26"/>
  <c r="AF22" i="26"/>
  <c r="AG22" i="26"/>
  <c r="AH22" i="26"/>
  <c r="AE24" i="26"/>
  <c r="AF24" i="26"/>
  <c r="AG24" i="26"/>
  <c r="AH24" i="26"/>
  <c r="AE25" i="26"/>
  <c r="AF25" i="26"/>
  <c r="AG25" i="26"/>
  <c r="AH25" i="26"/>
  <c r="AE26" i="26"/>
  <c r="AF26" i="26"/>
  <c r="AG26" i="26"/>
  <c r="AH26" i="26"/>
  <c r="AE27" i="26"/>
  <c r="AF27" i="26"/>
  <c r="AG27" i="26"/>
  <c r="AH27" i="26"/>
  <c r="AE28" i="26"/>
  <c r="AF28" i="26"/>
  <c r="AG28" i="26"/>
  <c r="AH28" i="26"/>
  <c r="AE29" i="26"/>
  <c r="AF29" i="26"/>
  <c r="AG29" i="26"/>
  <c r="AH29" i="26"/>
  <c r="AE30" i="26"/>
  <c r="AF30" i="26"/>
  <c r="AG30" i="26"/>
  <c r="AH30" i="26"/>
  <c r="AE31" i="26"/>
  <c r="AF31" i="26"/>
  <c r="AG31" i="26"/>
  <c r="AH31" i="26"/>
  <c r="AE32" i="26"/>
  <c r="AF32" i="26"/>
  <c r="AG32" i="26"/>
  <c r="AH32" i="26"/>
  <c r="AE33" i="26"/>
  <c r="AF33" i="26"/>
  <c r="AG33" i="26"/>
  <c r="AH33" i="26"/>
  <c r="AE34" i="26"/>
  <c r="AF34" i="26"/>
  <c r="AG34" i="26"/>
  <c r="AH34" i="26"/>
  <c r="AE35" i="26"/>
  <c r="AF35" i="26"/>
  <c r="AG35" i="26"/>
  <c r="AH35" i="26"/>
  <c r="AE36" i="26"/>
  <c r="AF36" i="26"/>
  <c r="AG36" i="26"/>
  <c r="AH36" i="26"/>
  <c r="AE37" i="26"/>
  <c r="AF37" i="26"/>
  <c r="AG37" i="26"/>
  <c r="AH37" i="26"/>
  <c r="AE38" i="26"/>
  <c r="AF38" i="26"/>
  <c r="AG38" i="26"/>
  <c r="AH38" i="26"/>
  <c r="V10" i="26"/>
  <c r="W10" i="26"/>
  <c r="X10" i="26"/>
  <c r="Y10" i="26"/>
  <c r="V11" i="26"/>
  <c r="W11" i="26"/>
  <c r="X11" i="26"/>
  <c r="Y11" i="26"/>
  <c r="V12" i="26"/>
  <c r="W12" i="26"/>
  <c r="X12" i="26"/>
  <c r="Y12" i="26"/>
  <c r="V13" i="26"/>
  <c r="W13" i="26"/>
  <c r="X13" i="26"/>
  <c r="Y13" i="26"/>
  <c r="V14" i="26"/>
  <c r="W14" i="26"/>
  <c r="X14" i="26"/>
  <c r="Y14" i="26"/>
  <c r="V15" i="26"/>
  <c r="W15" i="26"/>
  <c r="X15" i="26"/>
  <c r="Y15" i="26"/>
  <c r="V16" i="26"/>
  <c r="W16" i="26"/>
  <c r="X16" i="26"/>
  <c r="Y16" i="26"/>
  <c r="V17" i="26"/>
  <c r="W17" i="26"/>
  <c r="X17" i="26"/>
  <c r="Y17" i="26"/>
  <c r="V18" i="26"/>
  <c r="W18" i="26"/>
  <c r="X18" i="26"/>
  <c r="Y18" i="26"/>
  <c r="V19" i="26"/>
  <c r="W19" i="26"/>
  <c r="X19" i="26"/>
  <c r="Y19" i="26"/>
  <c r="V20" i="26"/>
  <c r="W20" i="26"/>
  <c r="X20" i="26"/>
  <c r="Y20" i="26"/>
  <c r="V21" i="26"/>
  <c r="W21" i="26"/>
  <c r="X21" i="26"/>
  <c r="Y21" i="26"/>
  <c r="V22" i="26"/>
  <c r="W22" i="26"/>
  <c r="X22" i="26"/>
  <c r="Y22" i="26"/>
  <c r="V23" i="26"/>
  <c r="W23" i="26"/>
  <c r="X23" i="26"/>
  <c r="Y23" i="26"/>
  <c r="V24" i="26"/>
  <c r="W24" i="26"/>
  <c r="X24" i="26"/>
  <c r="Y24" i="26"/>
  <c r="V27" i="26"/>
  <c r="W27" i="26"/>
  <c r="X27" i="26"/>
  <c r="Y27" i="26"/>
  <c r="V28" i="26"/>
  <c r="W28" i="26"/>
  <c r="X28" i="26"/>
  <c r="Y28" i="26"/>
  <c r="V29" i="26"/>
  <c r="W29" i="26"/>
  <c r="X29" i="26"/>
  <c r="Y29" i="26"/>
  <c r="V30" i="26"/>
  <c r="W30" i="26"/>
  <c r="X30" i="26"/>
  <c r="Y30" i="26"/>
  <c r="V31" i="26"/>
  <c r="W31" i="26"/>
  <c r="X31" i="26"/>
  <c r="Y31" i="26"/>
  <c r="V32" i="26"/>
  <c r="W32" i="26"/>
  <c r="X32" i="26"/>
  <c r="Y32" i="26"/>
  <c r="V33" i="26"/>
  <c r="W33" i="26"/>
  <c r="X33" i="26"/>
  <c r="Y33" i="26"/>
  <c r="V34" i="26"/>
  <c r="W34" i="26"/>
  <c r="X34" i="26"/>
  <c r="Y34" i="26"/>
  <c r="V35" i="26"/>
  <c r="W35" i="26"/>
  <c r="X35" i="26"/>
  <c r="Y35" i="26"/>
  <c r="V36" i="26"/>
  <c r="W36" i="26"/>
  <c r="X36" i="26"/>
  <c r="Y36" i="26"/>
  <c r="V37" i="26"/>
  <c r="W37" i="26"/>
  <c r="X37" i="26"/>
  <c r="Y37" i="26"/>
  <c r="AE10" i="25"/>
  <c r="AF10" i="25"/>
  <c r="AG10" i="25"/>
  <c r="AH10" i="25"/>
  <c r="AE11" i="25"/>
  <c r="AF11" i="25"/>
  <c r="AG11" i="25"/>
  <c r="AH11" i="25"/>
  <c r="AE12" i="25"/>
  <c r="AF12" i="25"/>
  <c r="AG12" i="25"/>
  <c r="AH12" i="25"/>
  <c r="AE13" i="25"/>
  <c r="AF13" i="25"/>
  <c r="AG13" i="25"/>
  <c r="AH13" i="25"/>
  <c r="AE14" i="25"/>
  <c r="AF14" i="25"/>
  <c r="AG14" i="25"/>
  <c r="AH14" i="25"/>
  <c r="AE15" i="25"/>
  <c r="AF15" i="25"/>
  <c r="AG15" i="25"/>
  <c r="AH15" i="25"/>
  <c r="AE16" i="25"/>
  <c r="AF16" i="25"/>
  <c r="AG16" i="25"/>
  <c r="AH16" i="25"/>
  <c r="AE17" i="25"/>
  <c r="AF17" i="25"/>
  <c r="AG17" i="25"/>
  <c r="AH17" i="25"/>
  <c r="AE18" i="25"/>
  <c r="AF18" i="25"/>
  <c r="AG18" i="25"/>
  <c r="AH18" i="25"/>
  <c r="AE19" i="25"/>
  <c r="AF19" i="25"/>
  <c r="AG19" i="25"/>
  <c r="AH19" i="25"/>
  <c r="AE21" i="25"/>
  <c r="AF21" i="25"/>
  <c r="AG21" i="25"/>
  <c r="AH21" i="25"/>
  <c r="AE22" i="25"/>
  <c r="AF22" i="25"/>
  <c r="AG22" i="25"/>
  <c r="AH22" i="25"/>
  <c r="AE23" i="25"/>
  <c r="AF23" i="25"/>
  <c r="AG23" i="25"/>
  <c r="AH23" i="25"/>
  <c r="AE24" i="25"/>
  <c r="AF24" i="25"/>
  <c r="AG24" i="25"/>
  <c r="AH24" i="25"/>
  <c r="AE25" i="25"/>
  <c r="AF25" i="25"/>
  <c r="AG25" i="25"/>
  <c r="AH25" i="25"/>
  <c r="AE26" i="25"/>
  <c r="AF26" i="25"/>
  <c r="AG26" i="25"/>
  <c r="AH26" i="25"/>
  <c r="AE27" i="25"/>
  <c r="AF27" i="25"/>
  <c r="AG27" i="25"/>
  <c r="AH27" i="25"/>
  <c r="AE28" i="25"/>
  <c r="AF28" i="25"/>
  <c r="AG28" i="25"/>
  <c r="AH28" i="25"/>
  <c r="AE29" i="25"/>
  <c r="AF29" i="25"/>
  <c r="AG29" i="25"/>
  <c r="AH29" i="25"/>
  <c r="AE30" i="25"/>
  <c r="AF30" i="25"/>
  <c r="AG30" i="25"/>
  <c r="AH30" i="25"/>
  <c r="AE31" i="25"/>
  <c r="AF31" i="25"/>
  <c r="AG31" i="25"/>
  <c r="AH31" i="25"/>
  <c r="AE32" i="25"/>
  <c r="AF32" i="25"/>
  <c r="AG32" i="25"/>
  <c r="AH32" i="25"/>
  <c r="AE33" i="25"/>
  <c r="AF33" i="25"/>
  <c r="AG33" i="25"/>
  <c r="AH33" i="25"/>
  <c r="AE34" i="25"/>
  <c r="AF34" i="25"/>
  <c r="AG34" i="25"/>
  <c r="AH34" i="25"/>
  <c r="AE35" i="25"/>
  <c r="AF35" i="25"/>
  <c r="AG35" i="25"/>
  <c r="AH35" i="25"/>
  <c r="AE36" i="25"/>
  <c r="AF36" i="25"/>
  <c r="AG36" i="25"/>
  <c r="AH36" i="25"/>
  <c r="AE38" i="25"/>
  <c r="AF38" i="25"/>
  <c r="AG38" i="25"/>
  <c r="AH38" i="25"/>
  <c r="AE39" i="25"/>
  <c r="AF39" i="25"/>
  <c r="AG39" i="25"/>
  <c r="AH39" i="25"/>
  <c r="AE9" i="25"/>
  <c r="AF9" i="25"/>
  <c r="AG9" i="25"/>
  <c r="AH9" i="25"/>
  <c r="V10" i="22"/>
  <c r="W10" i="22"/>
  <c r="X10" i="22"/>
  <c r="Y10" i="22"/>
  <c r="V11" i="22"/>
  <c r="W11" i="22"/>
  <c r="X11" i="22"/>
  <c r="Y11" i="22"/>
  <c r="V12" i="22"/>
  <c r="W12" i="22"/>
  <c r="X12" i="22"/>
  <c r="Y12" i="22"/>
  <c r="V13" i="22"/>
  <c r="W13" i="22"/>
  <c r="X13" i="22"/>
  <c r="Y13" i="22"/>
  <c r="V14" i="22"/>
  <c r="W14" i="22"/>
  <c r="X14" i="22"/>
  <c r="Y14" i="22"/>
  <c r="V16" i="22"/>
  <c r="W16" i="22"/>
  <c r="X16" i="22"/>
  <c r="Y16" i="22"/>
  <c r="V17" i="22"/>
  <c r="W17" i="22"/>
  <c r="X17" i="22"/>
  <c r="Y17" i="22"/>
  <c r="V18" i="22"/>
  <c r="W18" i="22"/>
  <c r="X18" i="22"/>
  <c r="Y18" i="22"/>
  <c r="V19" i="22"/>
  <c r="W19" i="22"/>
  <c r="X19" i="22"/>
  <c r="Y19" i="22"/>
  <c r="V20" i="22"/>
  <c r="W20" i="22"/>
  <c r="X20" i="22"/>
  <c r="Y20" i="22"/>
  <c r="V21" i="22"/>
  <c r="W21" i="22"/>
  <c r="X21" i="22"/>
  <c r="Y21" i="22"/>
  <c r="V22" i="22"/>
  <c r="W22" i="22"/>
  <c r="X22" i="22"/>
  <c r="Y22" i="22"/>
  <c r="V23" i="22"/>
  <c r="W23" i="22"/>
  <c r="X23" i="22"/>
  <c r="Y23" i="22"/>
  <c r="V24" i="22"/>
  <c r="W24" i="22"/>
  <c r="X24" i="22"/>
  <c r="Y24" i="22"/>
  <c r="V25" i="22"/>
  <c r="W25" i="22"/>
  <c r="X25" i="22"/>
  <c r="Y25" i="22"/>
  <c r="V26" i="22"/>
  <c r="W26" i="22"/>
  <c r="X26" i="22"/>
  <c r="Y26" i="22"/>
  <c r="V27" i="22"/>
  <c r="W27" i="22"/>
  <c r="X27" i="22"/>
  <c r="Y27" i="22"/>
  <c r="V28" i="22"/>
  <c r="W28" i="22"/>
  <c r="X28" i="22"/>
  <c r="Y28" i="22"/>
  <c r="V29" i="22"/>
  <c r="W29" i="22"/>
  <c r="X29" i="22"/>
  <c r="Y29" i="22"/>
  <c r="V30" i="22"/>
  <c r="W30" i="22"/>
  <c r="X30" i="22"/>
  <c r="Y30" i="22"/>
  <c r="V31" i="22"/>
  <c r="W31" i="22"/>
  <c r="X31" i="22"/>
  <c r="Y31" i="22"/>
  <c r="V32" i="22"/>
  <c r="W32" i="22"/>
  <c r="X32" i="22"/>
  <c r="Y32" i="22"/>
  <c r="V33" i="22"/>
  <c r="W33" i="22"/>
  <c r="X33" i="22"/>
  <c r="Y33" i="22"/>
  <c r="V34" i="22"/>
  <c r="W34" i="22"/>
  <c r="X34" i="22"/>
  <c r="Y34" i="22"/>
  <c r="V35" i="22"/>
  <c r="W35" i="22"/>
  <c r="X35" i="22"/>
  <c r="Y35" i="22"/>
  <c r="V36" i="22"/>
  <c r="W36" i="22"/>
  <c r="X36" i="22"/>
  <c r="Y36" i="22"/>
  <c r="V37" i="22"/>
  <c r="W37" i="22"/>
  <c r="X37" i="22"/>
  <c r="Y37" i="22"/>
  <c r="V38" i="22"/>
  <c r="W38" i="22"/>
  <c r="X38" i="22"/>
  <c r="Y38" i="22"/>
  <c r="V39" i="22"/>
  <c r="W39" i="22"/>
  <c r="X39" i="22"/>
  <c r="Y39" i="22"/>
  <c r="V19" i="25"/>
  <c r="W19" i="25"/>
  <c r="X19" i="25"/>
  <c r="Y19" i="25"/>
  <c r="V10" i="25"/>
  <c r="W10" i="25"/>
  <c r="X10" i="25"/>
  <c r="Y10" i="25"/>
  <c r="V11" i="25"/>
  <c r="W11" i="25"/>
  <c r="X11" i="25"/>
  <c r="Y11" i="25"/>
  <c r="V12" i="25"/>
  <c r="W12" i="25"/>
  <c r="X12" i="25"/>
  <c r="Y12" i="25"/>
  <c r="V13" i="25"/>
  <c r="W13" i="25"/>
  <c r="X13" i="25"/>
  <c r="Y13" i="25"/>
  <c r="V14" i="25"/>
  <c r="W14" i="25"/>
  <c r="X14" i="25"/>
  <c r="Y14" i="25"/>
  <c r="V15" i="25"/>
  <c r="W15" i="25"/>
  <c r="X15" i="25"/>
  <c r="Y15" i="25"/>
  <c r="V16" i="25"/>
  <c r="W16" i="25"/>
  <c r="X16" i="25"/>
  <c r="Y16" i="25"/>
  <c r="V17" i="25"/>
  <c r="W17" i="25"/>
  <c r="X17" i="25"/>
  <c r="Y17" i="25"/>
  <c r="V18" i="25"/>
  <c r="W18" i="25"/>
  <c r="X18" i="25"/>
  <c r="Y18" i="25"/>
  <c r="V20" i="25"/>
  <c r="W20" i="25"/>
  <c r="X20" i="25"/>
  <c r="Y20" i="25"/>
  <c r="V21" i="25"/>
  <c r="W21" i="25"/>
  <c r="X21" i="25"/>
  <c r="Y21" i="25"/>
  <c r="V22" i="25"/>
  <c r="W22" i="25"/>
  <c r="X22" i="25"/>
  <c r="Y22" i="25"/>
  <c r="V23" i="25"/>
  <c r="W23" i="25"/>
  <c r="X23" i="25"/>
  <c r="Y23" i="25"/>
  <c r="V24" i="25"/>
  <c r="W24" i="25"/>
  <c r="X24" i="25"/>
  <c r="Y24" i="25"/>
  <c r="V25" i="25"/>
  <c r="W25" i="25"/>
  <c r="X25" i="25"/>
  <c r="Y25" i="25"/>
  <c r="V26" i="25"/>
  <c r="W26" i="25"/>
  <c r="X26" i="25"/>
  <c r="Y26" i="25"/>
  <c r="V28" i="25"/>
  <c r="W28" i="25"/>
  <c r="X28" i="25"/>
  <c r="Y28" i="25"/>
  <c r="V29" i="25"/>
  <c r="W29" i="25"/>
  <c r="X29" i="25"/>
  <c r="Y29" i="25"/>
  <c r="V30" i="25"/>
  <c r="W30" i="25"/>
  <c r="X30" i="25"/>
  <c r="Y30" i="25"/>
  <c r="V31" i="25"/>
  <c r="W31" i="25"/>
  <c r="X31" i="25"/>
  <c r="Y31" i="25"/>
  <c r="V32" i="25"/>
  <c r="W32" i="25"/>
  <c r="X32" i="25"/>
  <c r="Y32" i="25"/>
  <c r="V33" i="25"/>
  <c r="W33" i="25"/>
  <c r="X33" i="25"/>
  <c r="Y33" i="25"/>
  <c r="V34" i="25"/>
  <c r="W34" i="25"/>
  <c r="X34" i="25"/>
  <c r="Y34" i="25"/>
  <c r="V35" i="25"/>
  <c r="W35" i="25"/>
  <c r="X35" i="25"/>
  <c r="Y35" i="25"/>
  <c r="V36" i="25"/>
  <c r="W36" i="25"/>
  <c r="X36" i="25"/>
  <c r="Y36" i="25"/>
  <c r="V37" i="25"/>
  <c r="W37" i="25"/>
  <c r="X37" i="25"/>
  <c r="Y37" i="25"/>
  <c r="V38" i="25"/>
  <c r="W38" i="25"/>
  <c r="X38" i="25"/>
  <c r="Y38" i="25"/>
  <c r="V39" i="25"/>
  <c r="W39" i="25"/>
  <c r="X39" i="25"/>
  <c r="Y39" i="25"/>
  <c r="V9" i="25"/>
  <c r="W9" i="25"/>
  <c r="X9" i="25"/>
  <c r="Y9" i="25"/>
  <c r="Y40" i="25"/>
  <c r="AE13" i="23"/>
  <c r="AF13" i="23"/>
  <c r="AG13" i="23"/>
  <c r="AH13" i="23"/>
  <c r="AE14" i="23"/>
  <c r="AF14" i="23"/>
  <c r="AG14" i="23"/>
  <c r="AH14" i="23"/>
  <c r="AE15" i="23"/>
  <c r="AF15" i="23"/>
  <c r="AG15" i="23"/>
  <c r="AH15" i="23"/>
  <c r="AE16" i="23"/>
  <c r="AF16" i="23"/>
  <c r="AG16" i="23"/>
  <c r="AH16" i="23"/>
  <c r="AE17" i="23"/>
  <c r="AF17" i="23"/>
  <c r="AG17" i="23"/>
  <c r="AH17" i="23"/>
  <c r="AE18" i="23"/>
  <c r="AF18" i="23"/>
  <c r="AG18" i="23"/>
  <c r="AH18" i="23"/>
  <c r="AE19" i="23"/>
  <c r="AF19" i="23"/>
  <c r="AG19" i="23"/>
  <c r="AH19" i="23"/>
  <c r="AE20" i="23"/>
  <c r="AF20" i="23"/>
  <c r="AG20" i="23"/>
  <c r="AH20" i="23"/>
  <c r="AE22" i="23"/>
  <c r="AF22" i="23"/>
  <c r="AG22" i="23"/>
  <c r="AH22" i="23"/>
  <c r="AE23" i="23"/>
  <c r="AF23" i="23"/>
  <c r="AG23" i="23"/>
  <c r="AH23" i="23"/>
  <c r="V13" i="23"/>
  <c r="W13" i="23"/>
  <c r="X13" i="23"/>
  <c r="Y13" i="23"/>
  <c r="V14" i="23"/>
  <c r="W14" i="23"/>
  <c r="X14" i="23"/>
  <c r="Y14" i="23"/>
  <c r="V15" i="23"/>
  <c r="W15" i="23"/>
  <c r="X15" i="23"/>
  <c r="Y15" i="23"/>
  <c r="V16" i="23"/>
  <c r="W16" i="23"/>
  <c r="X16" i="23"/>
  <c r="Y16" i="23"/>
  <c r="V17" i="23"/>
  <c r="W17" i="23"/>
  <c r="X17" i="23"/>
  <c r="Y17" i="23"/>
  <c r="V18" i="23"/>
  <c r="W18" i="23"/>
  <c r="X18" i="23"/>
  <c r="Y18" i="23"/>
  <c r="V19" i="23"/>
  <c r="W19" i="23"/>
  <c r="X19" i="23"/>
  <c r="Y19" i="23"/>
  <c r="V20" i="23"/>
  <c r="W20" i="23"/>
  <c r="X20" i="23"/>
  <c r="Y20" i="23"/>
  <c r="V21" i="23"/>
  <c r="W21" i="23"/>
  <c r="X21" i="23"/>
  <c r="Y21" i="23"/>
  <c r="V22" i="23"/>
  <c r="W22" i="23"/>
  <c r="X22" i="23"/>
  <c r="Y22" i="23"/>
  <c r="AE12" i="24"/>
  <c r="AF12" i="24"/>
  <c r="AG12" i="24"/>
  <c r="AH12" i="24"/>
  <c r="AE32" i="24"/>
  <c r="AF32" i="24"/>
  <c r="AG32" i="24"/>
  <c r="AH32" i="24"/>
  <c r="AE33" i="24"/>
  <c r="AF33" i="24"/>
  <c r="AG33" i="24"/>
  <c r="AH33" i="24"/>
  <c r="AE34" i="24"/>
  <c r="AF34" i="24"/>
  <c r="AG34" i="24"/>
  <c r="AH34" i="24"/>
  <c r="AE35" i="24"/>
  <c r="AF35" i="24"/>
  <c r="AG35" i="24"/>
  <c r="AH35" i="24"/>
  <c r="AE36" i="24"/>
  <c r="AF36" i="24"/>
  <c r="AG36" i="24"/>
  <c r="AH36" i="24"/>
  <c r="AE37" i="24"/>
  <c r="AF37" i="24"/>
  <c r="AG37" i="24"/>
  <c r="AH37" i="24"/>
  <c r="AE38" i="24"/>
  <c r="AF38" i="24"/>
  <c r="AG38" i="24"/>
  <c r="AH38" i="24"/>
  <c r="AE39" i="24"/>
  <c r="AF39" i="24"/>
  <c r="AG39" i="24"/>
  <c r="AH39" i="24"/>
  <c r="AE11" i="24"/>
  <c r="AF11" i="24"/>
  <c r="AG11" i="24"/>
  <c r="AH11" i="24"/>
  <c r="AE13" i="24"/>
  <c r="AF13" i="24"/>
  <c r="AG13" i="24"/>
  <c r="AH13" i="24"/>
  <c r="AE14" i="24"/>
  <c r="AF14" i="24"/>
  <c r="AG14" i="24"/>
  <c r="AH14" i="24"/>
  <c r="AE15" i="24"/>
  <c r="AF15" i="24"/>
  <c r="AG15" i="24"/>
  <c r="AH15" i="24"/>
  <c r="AE16" i="24"/>
  <c r="AF16" i="24"/>
  <c r="AG16" i="24"/>
  <c r="AH16" i="24"/>
  <c r="AE17" i="24"/>
  <c r="AF17" i="24"/>
  <c r="AG17" i="24"/>
  <c r="AH17" i="24"/>
  <c r="AE18" i="24"/>
  <c r="AF18" i="24"/>
  <c r="AG18" i="24"/>
  <c r="AH18" i="24"/>
  <c r="AE19" i="24"/>
  <c r="AF19" i="24"/>
  <c r="AG19" i="24"/>
  <c r="AH19" i="24"/>
  <c r="AE20" i="24"/>
  <c r="AF20" i="24"/>
  <c r="AG20" i="24"/>
  <c r="AH20" i="24"/>
  <c r="AE21" i="24"/>
  <c r="AF21" i="24"/>
  <c r="AG21" i="24"/>
  <c r="AH21" i="24"/>
  <c r="AE22" i="24"/>
  <c r="AF22" i="24"/>
  <c r="AG22" i="24"/>
  <c r="AH22" i="24"/>
  <c r="AE23" i="24"/>
  <c r="AF23" i="24"/>
  <c r="AG23" i="24"/>
  <c r="AH23" i="24"/>
  <c r="AE24" i="24"/>
  <c r="AF24" i="24"/>
  <c r="AG24" i="24"/>
  <c r="AH24" i="24"/>
  <c r="AE25" i="24"/>
  <c r="AF25" i="24"/>
  <c r="AG25" i="24"/>
  <c r="AH25" i="24"/>
  <c r="AE26" i="24"/>
  <c r="AF26" i="24"/>
  <c r="AG26" i="24"/>
  <c r="AH26" i="24"/>
  <c r="AE27" i="24"/>
  <c r="AF27" i="24"/>
  <c r="AG27" i="24"/>
  <c r="AH27" i="24"/>
  <c r="AE28" i="24"/>
  <c r="AF28" i="24"/>
  <c r="AG28" i="24"/>
  <c r="AH28" i="24"/>
  <c r="AE29" i="24"/>
  <c r="AF29" i="24"/>
  <c r="AG29" i="24"/>
  <c r="AH29" i="24"/>
  <c r="AE30" i="24"/>
  <c r="AF30" i="24"/>
  <c r="AG30" i="24"/>
  <c r="AH30" i="24"/>
  <c r="AE9" i="24"/>
  <c r="AF9" i="24"/>
  <c r="AG9" i="24"/>
  <c r="AH9" i="24"/>
  <c r="V22" i="24"/>
  <c r="W22" i="24"/>
  <c r="X22" i="24"/>
  <c r="Y22" i="24"/>
  <c r="V23" i="24"/>
  <c r="W23" i="24"/>
  <c r="X23" i="24"/>
  <c r="Y23" i="24"/>
  <c r="V24" i="24"/>
  <c r="W24" i="24"/>
  <c r="X24" i="24"/>
  <c r="Y24" i="24"/>
  <c r="V25" i="24"/>
  <c r="W25" i="24"/>
  <c r="X25" i="24"/>
  <c r="Y25" i="24"/>
  <c r="V26" i="24"/>
  <c r="W26" i="24"/>
  <c r="X26" i="24"/>
  <c r="Y26" i="24"/>
  <c r="V27" i="24"/>
  <c r="W27" i="24"/>
  <c r="X27" i="24"/>
  <c r="Y27" i="24"/>
  <c r="V28" i="24"/>
  <c r="W28" i="24"/>
  <c r="X28" i="24"/>
  <c r="Y28" i="24"/>
  <c r="V29" i="24"/>
  <c r="W29" i="24"/>
  <c r="X29" i="24"/>
  <c r="Y29" i="24"/>
  <c r="V30" i="24"/>
  <c r="W30" i="24"/>
  <c r="X30" i="24"/>
  <c r="Y30" i="24"/>
  <c r="V31" i="24"/>
  <c r="W31" i="24"/>
  <c r="X31" i="24"/>
  <c r="Y31" i="24"/>
  <c r="V32" i="24"/>
  <c r="W32" i="24"/>
  <c r="X32" i="24"/>
  <c r="Y32" i="24"/>
  <c r="V33" i="24"/>
  <c r="W33" i="24"/>
  <c r="X33" i="24"/>
  <c r="Y33" i="24"/>
  <c r="V34" i="24"/>
  <c r="W34" i="24"/>
  <c r="X34" i="24"/>
  <c r="Y34" i="24"/>
  <c r="V35" i="24"/>
  <c r="W35" i="24"/>
  <c r="X35" i="24"/>
  <c r="Y35" i="24"/>
  <c r="V36" i="24"/>
  <c r="W36" i="24"/>
  <c r="X36" i="24"/>
  <c r="Y36" i="24"/>
  <c r="V37" i="24"/>
  <c r="W37" i="24"/>
  <c r="X37" i="24"/>
  <c r="Y37" i="24"/>
  <c r="V38" i="24"/>
  <c r="W38" i="24"/>
  <c r="X38" i="24"/>
  <c r="Y38" i="24"/>
  <c r="V39" i="24"/>
  <c r="W39" i="24"/>
  <c r="X39" i="24"/>
  <c r="Y39" i="24"/>
  <c r="V9" i="24"/>
  <c r="W9" i="24"/>
  <c r="X9" i="24"/>
  <c r="Y9" i="24"/>
  <c r="V10" i="24"/>
  <c r="W10" i="24"/>
  <c r="X10" i="24"/>
  <c r="Y10" i="24"/>
  <c r="V11" i="24"/>
  <c r="W11" i="24"/>
  <c r="X11" i="24"/>
  <c r="Y11" i="24"/>
  <c r="V12" i="24"/>
  <c r="W12" i="24"/>
  <c r="X12" i="24"/>
  <c r="Y12" i="24"/>
  <c r="V13" i="24"/>
  <c r="W13" i="24"/>
  <c r="X13" i="24"/>
  <c r="Y13" i="24"/>
  <c r="V14" i="24"/>
  <c r="W14" i="24"/>
  <c r="X14" i="24"/>
  <c r="Y14" i="24"/>
  <c r="V15" i="24"/>
  <c r="W15" i="24"/>
  <c r="X15" i="24"/>
  <c r="Y15" i="24"/>
  <c r="V16" i="24"/>
  <c r="W16" i="24"/>
  <c r="X16" i="24"/>
  <c r="Y16" i="24"/>
  <c r="V17" i="24"/>
  <c r="W17" i="24"/>
  <c r="X17" i="24"/>
  <c r="Y17" i="24"/>
  <c r="V18" i="24"/>
  <c r="W18" i="24"/>
  <c r="X18" i="24"/>
  <c r="Y18" i="24"/>
  <c r="V19" i="24"/>
  <c r="W19" i="24"/>
  <c r="X19" i="24"/>
  <c r="Y19" i="24"/>
  <c r="V20" i="24"/>
  <c r="W20" i="24"/>
  <c r="X20" i="24"/>
  <c r="Y20" i="24"/>
  <c r="AE13" i="21"/>
  <c r="AF13" i="21"/>
  <c r="AG13" i="21"/>
  <c r="AH13" i="21"/>
  <c r="AE14" i="21"/>
  <c r="AF14" i="21"/>
  <c r="AG14" i="21"/>
  <c r="AH14" i="21"/>
  <c r="AE15" i="21"/>
  <c r="AF15" i="21"/>
  <c r="AG15" i="21"/>
  <c r="AH15" i="21"/>
  <c r="AE16" i="21"/>
  <c r="AF16" i="21"/>
  <c r="AG16" i="21"/>
  <c r="AH16" i="21"/>
  <c r="AE17" i="21"/>
  <c r="AF17" i="21"/>
  <c r="AG17" i="21"/>
  <c r="AH17" i="21"/>
  <c r="AE19" i="21"/>
  <c r="AF19" i="21"/>
  <c r="AG19" i="21"/>
  <c r="AH19" i="21"/>
  <c r="AE20" i="21"/>
  <c r="AF20" i="21"/>
  <c r="AG20" i="21"/>
  <c r="AH20" i="21"/>
  <c r="AE21" i="21"/>
  <c r="AF21" i="21"/>
  <c r="AG21" i="21"/>
  <c r="AH21" i="21"/>
  <c r="AE22" i="21"/>
  <c r="AF22" i="21"/>
  <c r="AG22" i="21"/>
  <c r="AH22" i="21"/>
  <c r="AE23" i="21"/>
  <c r="AF23" i="21"/>
  <c r="AG23" i="21"/>
  <c r="AH23" i="21"/>
  <c r="AE24" i="21"/>
  <c r="AF24" i="21"/>
  <c r="AG24" i="21"/>
  <c r="AH24" i="21"/>
  <c r="AE25" i="21"/>
  <c r="AF25" i="21"/>
  <c r="AG25" i="21"/>
  <c r="AH25" i="21"/>
  <c r="AE26" i="21"/>
  <c r="AF26" i="21"/>
  <c r="AG26" i="21"/>
  <c r="AH26" i="21"/>
  <c r="AE27" i="21"/>
  <c r="AF27" i="21"/>
  <c r="AG27" i="21"/>
  <c r="AH27" i="21"/>
  <c r="AE28" i="21"/>
  <c r="AF28" i="21"/>
  <c r="AG28" i="21"/>
  <c r="AH28" i="21"/>
  <c r="AE29" i="21"/>
  <c r="AF29" i="21"/>
  <c r="AG29" i="21"/>
  <c r="AH29" i="21"/>
  <c r="V13" i="21"/>
  <c r="W13" i="21"/>
  <c r="X13" i="21"/>
  <c r="Y13" i="21"/>
  <c r="V14" i="21"/>
  <c r="W14" i="21"/>
  <c r="X14" i="21"/>
  <c r="Y14" i="21"/>
  <c r="V15" i="21"/>
  <c r="W15" i="21"/>
  <c r="X15" i="21"/>
  <c r="Y15" i="21"/>
  <c r="V16" i="21"/>
  <c r="W16" i="21"/>
  <c r="X16" i="21"/>
  <c r="Y16" i="21"/>
  <c r="V18" i="21"/>
  <c r="W18" i="21"/>
  <c r="X18" i="21"/>
  <c r="Y18" i="21"/>
  <c r="V19" i="21"/>
  <c r="W19" i="21"/>
  <c r="X19" i="21"/>
  <c r="Y19" i="21"/>
  <c r="V20" i="21"/>
  <c r="W20" i="21"/>
  <c r="X20" i="21"/>
  <c r="Y20" i="21"/>
  <c r="V21" i="21"/>
  <c r="W21" i="21"/>
  <c r="X21" i="21"/>
  <c r="Y21" i="21"/>
  <c r="V22" i="21"/>
  <c r="W22" i="21"/>
  <c r="X22" i="21"/>
  <c r="Y22" i="21"/>
  <c r="V23" i="21"/>
  <c r="W23" i="21"/>
  <c r="X23" i="21"/>
  <c r="Y23" i="21"/>
  <c r="V24" i="21"/>
  <c r="W24" i="21"/>
  <c r="X24" i="21"/>
  <c r="Y24" i="21"/>
  <c r="V25" i="21"/>
  <c r="W25" i="21"/>
  <c r="X25" i="21"/>
  <c r="Y25" i="21"/>
  <c r="V26" i="21"/>
  <c r="W26" i="21"/>
  <c r="X26" i="21"/>
  <c r="Y26" i="21"/>
  <c r="V27" i="21"/>
  <c r="W27" i="21"/>
  <c r="X27" i="21"/>
  <c r="Y27" i="21"/>
  <c r="V28" i="21"/>
  <c r="W28" i="21"/>
  <c r="X28" i="21"/>
  <c r="Y28" i="21"/>
  <c r="AE11" i="20"/>
  <c r="AF11" i="20"/>
  <c r="AG11" i="20"/>
  <c r="AH11" i="20"/>
  <c r="AE12" i="20"/>
  <c r="AF12" i="20"/>
  <c r="AG12" i="20"/>
  <c r="AH12" i="20"/>
  <c r="AE13" i="20"/>
  <c r="AF13" i="20"/>
  <c r="AG13" i="20"/>
  <c r="AH13" i="20"/>
  <c r="AE14" i="20"/>
  <c r="AF14" i="20"/>
  <c r="AG14" i="20"/>
  <c r="AH14" i="20"/>
  <c r="AE15" i="20"/>
  <c r="AF15" i="20"/>
  <c r="AG15" i="20"/>
  <c r="AH15" i="20"/>
  <c r="AE16" i="20"/>
  <c r="AF16" i="20"/>
  <c r="AG16" i="20"/>
  <c r="AH16" i="20"/>
  <c r="AE17" i="20"/>
  <c r="AF17" i="20"/>
  <c r="AG17" i="20"/>
  <c r="AH17" i="20"/>
  <c r="AE19" i="20"/>
  <c r="AF19" i="20"/>
  <c r="AG19" i="20"/>
  <c r="AH19" i="20"/>
  <c r="AE20" i="20"/>
  <c r="AF20" i="20"/>
  <c r="AG20" i="20"/>
  <c r="AH20" i="20"/>
  <c r="AE21" i="20"/>
  <c r="AF21" i="20"/>
  <c r="AG21" i="20"/>
  <c r="AH21" i="20"/>
  <c r="AE22" i="20"/>
  <c r="AF22" i="20"/>
  <c r="AG22" i="20"/>
  <c r="AH22" i="20"/>
  <c r="AE23" i="20"/>
  <c r="AF23" i="20"/>
  <c r="AG23" i="20"/>
  <c r="AH23" i="20"/>
  <c r="AE24" i="20"/>
  <c r="AF24" i="20"/>
  <c r="AG24" i="20"/>
  <c r="AH24" i="20"/>
  <c r="AE25" i="20"/>
  <c r="AF25" i="20"/>
  <c r="AG25" i="20"/>
  <c r="AH25" i="20"/>
  <c r="AE26" i="20"/>
  <c r="AF26" i="20"/>
  <c r="AG26" i="20"/>
  <c r="AH26" i="20"/>
  <c r="AE27" i="20"/>
  <c r="AF27" i="20"/>
  <c r="AG27" i="20"/>
  <c r="AH27" i="20"/>
  <c r="AE28" i="20"/>
  <c r="AF28" i="20"/>
  <c r="AG28" i="20"/>
  <c r="AH28" i="20"/>
  <c r="AE29" i="20"/>
  <c r="AF29" i="20"/>
  <c r="AG29" i="20"/>
  <c r="AH29" i="20"/>
  <c r="AE8" i="22"/>
  <c r="AF8" i="22"/>
  <c r="AG8" i="22"/>
  <c r="AH8" i="22"/>
  <c r="AE9" i="22"/>
  <c r="AF9" i="22"/>
  <c r="AG9" i="22"/>
  <c r="AH9" i="22"/>
  <c r="AE10" i="22"/>
  <c r="AF10" i="22"/>
  <c r="AG10" i="22"/>
  <c r="AH10" i="22"/>
  <c r="AE11" i="22"/>
  <c r="AF11" i="22"/>
  <c r="AG11" i="22"/>
  <c r="AH11" i="22"/>
  <c r="AE12" i="22"/>
  <c r="AF12" i="22"/>
  <c r="AG12" i="22"/>
  <c r="AH12" i="22"/>
  <c r="AE13" i="22"/>
  <c r="AF13" i="22"/>
  <c r="AG13" i="22"/>
  <c r="AH13" i="22"/>
  <c r="AE14" i="22"/>
  <c r="AF14" i="22"/>
  <c r="AG14" i="22"/>
  <c r="AH14" i="22"/>
  <c r="AE15" i="22"/>
  <c r="AF15" i="22"/>
  <c r="AG15" i="22"/>
  <c r="AH15" i="22"/>
  <c r="AE17" i="22"/>
  <c r="AF17" i="22"/>
  <c r="AG17" i="22"/>
  <c r="AH17" i="22"/>
  <c r="AE18" i="22"/>
  <c r="AF18" i="22"/>
  <c r="AG18" i="22"/>
  <c r="AH18" i="22"/>
  <c r="AE19" i="22"/>
  <c r="AF19" i="22"/>
  <c r="AG19" i="22"/>
  <c r="AH19" i="22"/>
  <c r="AE20" i="22"/>
  <c r="AF20" i="22"/>
  <c r="AG20" i="22"/>
  <c r="AH20" i="22"/>
  <c r="AE21" i="22"/>
  <c r="AF21" i="22"/>
  <c r="AG21" i="22"/>
  <c r="AH21" i="22"/>
  <c r="AE22" i="22"/>
  <c r="AF22" i="22"/>
  <c r="AG22" i="22"/>
  <c r="AH22" i="22"/>
  <c r="AE23" i="22"/>
  <c r="AF23" i="22"/>
  <c r="AG23" i="22"/>
  <c r="AH23" i="22"/>
  <c r="AE24" i="22"/>
  <c r="AF24" i="22"/>
  <c r="AG24" i="22"/>
  <c r="AH24" i="22"/>
  <c r="AE25" i="22"/>
  <c r="AF25" i="22"/>
  <c r="AG25" i="22"/>
  <c r="AH25" i="22"/>
  <c r="AE26" i="22"/>
  <c r="AF26" i="22"/>
  <c r="AG26" i="22"/>
  <c r="AH26" i="22"/>
  <c r="AE27" i="22"/>
  <c r="AF27" i="22"/>
  <c r="AG27" i="22"/>
  <c r="AH27" i="22"/>
  <c r="AE28" i="22"/>
  <c r="AF28" i="22"/>
  <c r="AG28" i="22"/>
  <c r="AH28" i="22"/>
  <c r="AE29" i="22"/>
  <c r="AF29" i="22"/>
  <c r="AG29" i="22"/>
  <c r="AH29" i="22"/>
  <c r="AE30" i="22"/>
  <c r="AF30" i="22"/>
  <c r="AG30" i="22"/>
  <c r="AH30" i="22"/>
  <c r="AE31" i="22"/>
  <c r="AF31" i="22"/>
  <c r="AG31" i="22"/>
  <c r="AH31" i="22"/>
  <c r="AE32" i="22"/>
  <c r="AF32" i="22"/>
  <c r="AG32" i="22"/>
  <c r="AH32" i="22"/>
  <c r="AE33" i="22"/>
  <c r="AF33" i="22"/>
  <c r="AG33" i="22"/>
  <c r="AH33" i="22"/>
  <c r="AE34" i="22"/>
  <c r="AF34" i="22"/>
  <c r="AG34" i="22"/>
  <c r="AH34" i="22"/>
  <c r="AE30" i="23"/>
  <c r="AF30" i="23"/>
  <c r="AG30" i="23"/>
  <c r="AH30" i="23"/>
  <c r="AE15" i="18"/>
  <c r="AF15" i="18"/>
  <c r="AG15" i="18"/>
  <c r="AH15" i="18"/>
  <c r="AE17" i="18"/>
  <c r="AF17" i="18"/>
  <c r="AG17" i="18"/>
  <c r="AH17" i="18"/>
  <c r="AE15" i="19"/>
  <c r="AF15" i="19"/>
  <c r="AG15" i="19"/>
  <c r="AH15" i="19"/>
  <c r="W11" i="18"/>
  <c r="X11" i="18"/>
  <c r="Y11" i="18"/>
  <c r="Y12" i="18"/>
  <c r="W14" i="18"/>
  <c r="X14" i="18"/>
  <c r="Y14" i="18"/>
  <c r="V19" i="19"/>
  <c r="W19" i="19"/>
  <c r="X19" i="19"/>
  <c r="Y19" i="19"/>
  <c r="V20" i="19"/>
  <c r="W20" i="19"/>
  <c r="X20" i="19"/>
  <c r="Y20" i="19"/>
  <c r="V21" i="19"/>
  <c r="W21" i="19"/>
  <c r="X21" i="19"/>
  <c r="Y21" i="19"/>
  <c r="V9" i="22"/>
  <c r="W9" i="22"/>
  <c r="X9" i="22"/>
  <c r="Y9" i="22"/>
  <c r="Y40" i="22"/>
  <c r="V11" i="20"/>
  <c r="W11" i="20"/>
  <c r="X11" i="20"/>
  <c r="V12" i="20"/>
  <c r="W12" i="20"/>
  <c r="V13" i="20"/>
  <c r="W13" i="20"/>
  <c r="X13" i="20"/>
  <c r="Y13" i="20"/>
  <c r="V14" i="20"/>
  <c r="W14" i="20"/>
  <c r="V15" i="20"/>
  <c r="W15" i="20"/>
  <c r="X15" i="20"/>
  <c r="V16" i="20"/>
  <c r="W16" i="20"/>
  <c r="V17" i="20"/>
  <c r="W17" i="20"/>
  <c r="X17" i="20"/>
  <c r="Y17" i="20"/>
  <c r="V20" i="20"/>
  <c r="W20" i="20"/>
  <c r="V21" i="20"/>
  <c r="W21" i="20"/>
  <c r="X21" i="20"/>
  <c r="Y21" i="20"/>
  <c r="V23" i="20"/>
  <c r="W23" i="20"/>
  <c r="V24" i="20"/>
  <c r="W24" i="20"/>
  <c r="X24" i="20"/>
  <c r="Y24" i="20"/>
  <c r="V25" i="20"/>
  <c r="W25" i="20"/>
  <c r="V26" i="20"/>
  <c r="W26" i="20"/>
  <c r="X26" i="20"/>
  <c r="Y26" i="20"/>
  <c r="V27" i="20"/>
  <c r="W27" i="20"/>
  <c r="V28" i="20"/>
  <c r="W28" i="20"/>
  <c r="X28" i="20"/>
  <c r="Y28" i="20"/>
  <c r="X12" i="20"/>
  <c r="Y12" i="20"/>
  <c r="X14" i="20"/>
  <c r="Y14" i="20"/>
  <c r="X16" i="20"/>
  <c r="Y16" i="20"/>
  <c r="X20" i="20"/>
  <c r="Y20" i="20"/>
  <c r="X23" i="20"/>
  <c r="Y23" i="20"/>
  <c r="X25" i="20"/>
  <c r="Y25" i="20"/>
  <c r="X27" i="20"/>
  <c r="Y27" i="20"/>
  <c r="Y11" i="20"/>
  <c r="Y15" i="20"/>
  <c r="L3" i="5"/>
  <c r="L4" i="5"/>
  <c r="L5" i="5"/>
  <c r="M11" i="1"/>
  <c r="P11" i="1"/>
  <c r="BM11" i="1"/>
  <c r="BN11" i="1"/>
  <c r="M10" i="1"/>
  <c r="N10" i="1"/>
  <c r="O10" i="1"/>
  <c r="P10" i="1"/>
  <c r="BM10" i="1"/>
  <c r="BN10" i="1"/>
  <c r="BM17" i="1"/>
  <c r="BN17" i="1"/>
  <c r="BM24" i="1"/>
  <c r="BN24" i="1"/>
  <c r="BM25" i="1"/>
  <c r="BN25" i="1"/>
  <c r="BM31" i="1"/>
  <c r="BN31" i="1"/>
  <c r="BM32" i="1"/>
  <c r="BN32" i="1"/>
  <c r="AE14" i="16"/>
  <c r="AF14" i="16"/>
  <c r="AG14" i="16"/>
  <c r="AH14" i="16"/>
  <c r="AE15" i="16"/>
  <c r="AF15" i="16"/>
  <c r="AG15" i="16"/>
  <c r="AH15" i="16"/>
  <c r="AO36" i="27"/>
  <c r="AP36" i="27"/>
  <c r="AQ36" i="27"/>
  <c r="AR36" i="27"/>
  <c r="AO37" i="27"/>
  <c r="AP37" i="27"/>
  <c r="AQ37" i="27"/>
  <c r="AR37" i="27"/>
  <c r="AO38" i="27"/>
  <c r="AP38" i="27"/>
  <c r="AQ38" i="27"/>
  <c r="AR38" i="27"/>
  <c r="AO39" i="27"/>
  <c r="AP39" i="27"/>
  <c r="AQ39" i="27"/>
  <c r="AR39" i="27"/>
  <c r="AN10" i="26"/>
  <c r="AO10" i="26"/>
  <c r="AP10" i="26"/>
  <c r="AQ10" i="26"/>
  <c r="AN11" i="26"/>
  <c r="AO11" i="26"/>
  <c r="AP11" i="26"/>
  <c r="AQ11" i="26"/>
  <c r="AN12" i="26"/>
  <c r="AO12" i="26"/>
  <c r="AP12" i="26"/>
  <c r="AQ12" i="26"/>
  <c r="AN13" i="26"/>
  <c r="AO13" i="26"/>
  <c r="AP13" i="26"/>
  <c r="AQ13" i="26"/>
  <c r="AN14" i="26"/>
  <c r="AO14" i="26"/>
  <c r="AP14" i="26"/>
  <c r="AQ14" i="26"/>
  <c r="AN15" i="26"/>
  <c r="AO15" i="26"/>
  <c r="AP15" i="26"/>
  <c r="AQ15" i="26"/>
  <c r="AN16" i="26"/>
  <c r="AO16" i="26"/>
  <c r="AP16" i="26"/>
  <c r="AQ16" i="26"/>
  <c r="AN17" i="26"/>
  <c r="AO17" i="26"/>
  <c r="AP17" i="26"/>
  <c r="AQ17" i="26"/>
  <c r="AN18" i="26"/>
  <c r="AO18" i="26"/>
  <c r="AP18" i="26"/>
  <c r="AQ18" i="26"/>
  <c r="AN19" i="26"/>
  <c r="AO19" i="26"/>
  <c r="AP19" i="26"/>
  <c r="AQ19" i="26"/>
  <c r="AN37" i="26"/>
  <c r="AO37" i="26"/>
  <c r="AP37" i="26"/>
  <c r="AQ37" i="26"/>
  <c r="AN9" i="26"/>
  <c r="AO9" i="26"/>
  <c r="AP9" i="26"/>
  <c r="AQ9" i="26"/>
  <c r="AN9" i="24"/>
  <c r="AO9" i="24"/>
  <c r="AP9" i="24"/>
  <c r="AQ9" i="24"/>
  <c r="AN10" i="24"/>
  <c r="AO10" i="24"/>
  <c r="AP10" i="24"/>
  <c r="AQ10" i="24"/>
  <c r="AN11" i="24"/>
  <c r="AO11" i="24"/>
  <c r="AP11" i="24"/>
  <c r="AQ11" i="24"/>
  <c r="AN12" i="24"/>
  <c r="AO12" i="24"/>
  <c r="AP12" i="24"/>
  <c r="AQ12" i="24"/>
  <c r="AN38" i="24"/>
  <c r="AO38" i="24"/>
  <c r="AP38" i="24"/>
  <c r="AQ38" i="24"/>
  <c r="AN39" i="24"/>
  <c r="AO39" i="24"/>
  <c r="AP39" i="24"/>
  <c r="AQ39" i="24"/>
  <c r="AN9" i="22"/>
  <c r="AO9" i="22"/>
  <c r="AP9" i="22"/>
  <c r="AQ9" i="22"/>
  <c r="AN10" i="22"/>
  <c r="AO10" i="22"/>
  <c r="AP10" i="22"/>
  <c r="AQ10" i="22"/>
  <c r="AN11" i="22"/>
  <c r="AO11" i="22"/>
  <c r="AP11" i="22"/>
  <c r="AQ11" i="22"/>
  <c r="AN12" i="22"/>
  <c r="AO12" i="22"/>
  <c r="AP12" i="22"/>
  <c r="AQ12" i="22"/>
  <c r="AN13" i="22"/>
  <c r="AO13" i="22"/>
  <c r="AP13" i="22"/>
  <c r="AQ13" i="22"/>
  <c r="AN14" i="22"/>
  <c r="AO14" i="22"/>
  <c r="AP14" i="22"/>
  <c r="AQ14" i="22"/>
  <c r="AN35" i="21"/>
  <c r="AO35" i="21"/>
  <c r="AP35" i="21"/>
  <c r="AQ35" i="21"/>
  <c r="AN36" i="21"/>
  <c r="AO36" i="21"/>
  <c r="AP36" i="21"/>
  <c r="AQ36" i="21"/>
  <c r="AR39" i="19"/>
  <c r="AS39" i="19"/>
  <c r="AT39" i="19"/>
  <c r="AU39" i="19"/>
  <c r="AM39" i="19"/>
  <c r="AD36" i="16"/>
  <c r="BJ45" i="27"/>
  <c r="BK45" i="27"/>
  <c r="AN38" i="26"/>
  <c r="AO38" i="26"/>
  <c r="AP38" i="26"/>
  <c r="AQ38" i="26"/>
  <c r="BA40" i="18"/>
  <c r="BB40" i="18"/>
  <c r="BA44" i="19"/>
  <c r="BB44" i="19"/>
  <c r="BA44" i="21"/>
  <c r="BB44" i="21"/>
  <c r="BA40" i="22"/>
  <c r="BB40" i="22"/>
  <c r="BA40" i="24"/>
  <c r="BB40" i="24"/>
  <c r="BA44" i="23"/>
  <c r="BB44" i="23"/>
  <c r="BA40" i="25"/>
  <c r="BB40" i="25"/>
  <c r="BA44" i="26"/>
  <c r="BB44" i="26"/>
  <c r="BA43" i="1"/>
  <c r="BB43" i="1"/>
  <c r="BA39" i="18"/>
  <c r="BB39" i="18"/>
  <c r="BA39" i="19"/>
  <c r="BB39" i="19"/>
  <c r="BA39" i="21"/>
  <c r="BB39" i="21"/>
  <c r="BA39" i="22"/>
  <c r="BB39" i="22"/>
  <c r="BA39" i="24"/>
  <c r="BB39" i="24"/>
  <c r="BA39" i="23"/>
  <c r="BB39" i="23"/>
  <c r="BA39" i="25"/>
  <c r="BB39" i="25"/>
  <c r="BA39" i="26"/>
  <c r="BB39" i="26"/>
  <c r="BC46" i="5"/>
  <c r="M37" i="27"/>
  <c r="N37" i="27"/>
  <c r="O37" i="27"/>
  <c r="P37" i="27"/>
  <c r="CD37" i="27"/>
  <c r="CE37" i="27"/>
  <c r="CD36" i="27"/>
  <c r="CE36" i="27"/>
  <c r="CD30" i="27"/>
  <c r="CE30" i="27"/>
  <c r="CD23" i="27"/>
  <c r="CE23" i="27"/>
  <c r="CD16" i="27"/>
  <c r="CE16" i="27"/>
  <c r="V35" i="18"/>
  <c r="W35" i="18"/>
  <c r="X35" i="18"/>
  <c r="Y35" i="18"/>
  <c r="AE11" i="18"/>
  <c r="AF11" i="18"/>
  <c r="AG11" i="18"/>
  <c r="AH11" i="18"/>
  <c r="AE13" i="18"/>
  <c r="AF13" i="18"/>
  <c r="AG13" i="18"/>
  <c r="AH13" i="18"/>
  <c r="AE14" i="18"/>
  <c r="AF14" i="18"/>
  <c r="AG14" i="18"/>
  <c r="AH14" i="18"/>
  <c r="V9" i="26"/>
  <c r="W9" i="26"/>
  <c r="X9" i="26"/>
  <c r="Y9" i="26"/>
  <c r="Y39" i="26"/>
  <c r="V38" i="26"/>
  <c r="W38" i="26"/>
  <c r="X38" i="26"/>
  <c r="Y38" i="26"/>
  <c r="AE9" i="26"/>
  <c r="AF9" i="26"/>
  <c r="AG9" i="26"/>
  <c r="AH9" i="26"/>
  <c r="AE33" i="23"/>
  <c r="AF33" i="23"/>
  <c r="AG33" i="23"/>
  <c r="AH33" i="23"/>
  <c r="V30" i="23"/>
  <c r="W30" i="23"/>
  <c r="X30" i="23"/>
  <c r="Y30" i="23"/>
  <c r="V10" i="20"/>
  <c r="W10" i="20"/>
  <c r="X10" i="20"/>
  <c r="Y10" i="20"/>
  <c r="AE30" i="20"/>
  <c r="AF30" i="20"/>
  <c r="AG30" i="20"/>
  <c r="AH30" i="20"/>
  <c r="AE32" i="20"/>
  <c r="AF32" i="20"/>
  <c r="AG32" i="20"/>
  <c r="AH32" i="20"/>
  <c r="AN10" i="18"/>
  <c r="AO10" i="18"/>
  <c r="AP10" i="18"/>
  <c r="AQ10" i="18"/>
  <c r="AN11" i="18"/>
  <c r="AO11" i="18"/>
  <c r="AP11" i="18"/>
  <c r="AQ11" i="18"/>
  <c r="AN38" i="18"/>
  <c r="AO38" i="18"/>
  <c r="AP38" i="18"/>
  <c r="AQ38" i="18"/>
  <c r="AN39" i="18"/>
  <c r="AO39" i="18"/>
  <c r="AP39" i="18"/>
  <c r="AQ39" i="18"/>
  <c r="AE9" i="18"/>
  <c r="AF9" i="18"/>
  <c r="AG9" i="18"/>
  <c r="AH9" i="18"/>
  <c r="AE10" i="18"/>
  <c r="AF10" i="18"/>
  <c r="AG10" i="18"/>
  <c r="AH10" i="18"/>
  <c r="AE16" i="18"/>
  <c r="AF16" i="18"/>
  <c r="AG16" i="18"/>
  <c r="AH16" i="18"/>
  <c r="AE18" i="18"/>
  <c r="AF18" i="18"/>
  <c r="AG18" i="18"/>
  <c r="AH18" i="18"/>
  <c r="AE19" i="18"/>
  <c r="AF19" i="18"/>
  <c r="AG19" i="18"/>
  <c r="AH19" i="18"/>
  <c r="AE20" i="18"/>
  <c r="AF20" i="18"/>
  <c r="AG20" i="18"/>
  <c r="AH20" i="18"/>
  <c r="AE21" i="18"/>
  <c r="AF21" i="18"/>
  <c r="AG21" i="18"/>
  <c r="AH21" i="18"/>
  <c r="AE22" i="18"/>
  <c r="AF22" i="18"/>
  <c r="AG22" i="18"/>
  <c r="AH22" i="18"/>
  <c r="AE23" i="18"/>
  <c r="AF23" i="18"/>
  <c r="AG23" i="18"/>
  <c r="AH23" i="18"/>
  <c r="AE24" i="18"/>
  <c r="AF24" i="18"/>
  <c r="AG24" i="18"/>
  <c r="AH24" i="18"/>
  <c r="AE25" i="18"/>
  <c r="AF25" i="18"/>
  <c r="AG25" i="18"/>
  <c r="AH25" i="18"/>
  <c r="AE26" i="18"/>
  <c r="AF26" i="18"/>
  <c r="AG26" i="18"/>
  <c r="AH26" i="18"/>
  <c r="AE27" i="18"/>
  <c r="AF27" i="18"/>
  <c r="AG27" i="18"/>
  <c r="AH27" i="18"/>
  <c r="AE28" i="18"/>
  <c r="AF28" i="18"/>
  <c r="AG28" i="18"/>
  <c r="AH28" i="18"/>
  <c r="AE29" i="18"/>
  <c r="AF29" i="18"/>
  <c r="AG29" i="18"/>
  <c r="AH29" i="18"/>
  <c r="AE30" i="18"/>
  <c r="AF30" i="18"/>
  <c r="AG30" i="18"/>
  <c r="AH30" i="18"/>
  <c r="AE31" i="18"/>
  <c r="AF31" i="18"/>
  <c r="AG31" i="18"/>
  <c r="AH31" i="18"/>
  <c r="AE32" i="18"/>
  <c r="AF32" i="18"/>
  <c r="AG32" i="18"/>
  <c r="AH32" i="18"/>
  <c r="AE33" i="18"/>
  <c r="AF33" i="18"/>
  <c r="AG33" i="18"/>
  <c r="AH33" i="18"/>
  <c r="AE34" i="18"/>
  <c r="AF34" i="18"/>
  <c r="AG34" i="18"/>
  <c r="AH34" i="18"/>
  <c r="AE35" i="18"/>
  <c r="AF35" i="18"/>
  <c r="AG35" i="18"/>
  <c r="AH35" i="18"/>
  <c r="AE36" i="18"/>
  <c r="AF36" i="18"/>
  <c r="AG36" i="18"/>
  <c r="AH36" i="18"/>
  <c r="AE37" i="18"/>
  <c r="AF37" i="18"/>
  <c r="AG37" i="18"/>
  <c r="AH37" i="18"/>
  <c r="AE38" i="18"/>
  <c r="AF38" i="18"/>
  <c r="AG38" i="18"/>
  <c r="AH38" i="18"/>
  <c r="AE39" i="18"/>
  <c r="AF39" i="18"/>
  <c r="AG39" i="18"/>
  <c r="AH39" i="18"/>
  <c r="AE19" i="19"/>
  <c r="AF19" i="19"/>
  <c r="AG19" i="19"/>
  <c r="AH19" i="19"/>
  <c r="AE20" i="19"/>
  <c r="AF20" i="19"/>
  <c r="AG20" i="19"/>
  <c r="AH20" i="19"/>
  <c r="AE21" i="19"/>
  <c r="AF21" i="19"/>
  <c r="AG21" i="19"/>
  <c r="AH21" i="19"/>
  <c r="AE28" i="19"/>
  <c r="AF28" i="19"/>
  <c r="AG28" i="19"/>
  <c r="AH28" i="19"/>
  <c r="AE11" i="19"/>
  <c r="AF11" i="19"/>
  <c r="AG11" i="19"/>
  <c r="AH11" i="19"/>
  <c r="A43" i="16"/>
  <c r="V9" i="18"/>
  <c r="W9" i="18"/>
  <c r="X9" i="18"/>
  <c r="Y9" i="18"/>
  <c r="V10" i="18"/>
  <c r="W10" i="18"/>
  <c r="X10" i="18"/>
  <c r="Y10" i="18"/>
  <c r="V16" i="18"/>
  <c r="W16" i="18"/>
  <c r="X16" i="18"/>
  <c r="Y16" i="18"/>
  <c r="V18" i="18"/>
  <c r="W18" i="18"/>
  <c r="X18" i="18"/>
  <c r="Y18" i="18"/>
  <c r="V19" i="18"/>
  <c r="W19" i="18"/>
  <c r="X19" i="18"/>
  <c r="Y19" i="18"/>
  <c r="V20" i="18"/>
  <c r="W20" i="18"/>
  <c r="X20" i="18"/>
  <c r="Y20" i="18"/>
  <c r="V21" i="18"/>
  <c r="W21" i="18"/>
  <c r="X21" i="18"/>
  <c r="Y21" i="18"/>
  <c r="V22" i="18"/>
  <c r="W22" i="18"/>
  <c r="X22" i="18"/>
  <c r="Y22" i="18"/>
  <c r="V23" i="18"/>
  <c r="W23" i="18"/>
  <c r="X23" i="18"/>
  <c r="Y23" i="18"/>
  <c r="V24" i="18"/>
  <c r="W24" i="18"/>
  <c r="X24" i="18"/>
  <c r="Y24" i="18"/>
  <c r="V25" i="18"/>
  <c r="W25" i="18"/>
  <c r="X25" i="18"/>
  <c r="Y25" i="18"/>
  <c r="V26" i="18"/>
  <c r="W26" i="18"/>
  <c r="X26" i="18"/>
  <c r="Y26" i="18"/>
  <c r="V27" i="18"/>
  <c r="W27" i="18"/>
  <c r="X27" i="18"/>
  <c r="Y27" i="18"/>
  <c r="V28" i="18"/>
  <c r="W28" i="18"/>
  <c r="X28" i="18"/>
  <c r="Y28" i="18"/>
  <c r="V29" i="18"/>
  <c r="W29" i="18"/>
  <c r="X29" i="18"/>
  <c r="Y29" i="18"/>
  <c r="V30" i="18"/>
  <c r="W30" i="18"/>
  <c r="X30" i="18"/>
  <c r="Y30" i="18"/>
  <c r="V31" i="18"/>
  <c r="W31" i="18"/>
  <c r="X31" i="18"/>
  <c r="Y31" i="18"/>
  <c r="V32" i="18"/>
  <c r="W32" i="18"/>
  <c r="X32" i="18"/>
  <c r="Y32" i="18"/>
  <c r="V33" i="18"/>
  <c r="W33" i="18"/>
  <c r="X33" i="18"/>
  <c r="Y33" i="18"/>
  <c r="V34" i="18"/>
  <c r="W34" i="18"/>
  <c r="X34" i="18"/>
  <c r="Y34" i="18"/>
  <c r="V36" i="18"/>
  <c r="W36" i="18"/>
  <c r="X36" i="18"/>
  <c r="Y36" i="18"/>
  <c r="V37" i="18"/>
  <c r="W37" i="18"/>
  <c r="X37" i="18"/>
  <c r="Y37" i="18"/>
  <c r="V38" i="18"/>
  <c r="W38" i="18"/>
  <c r="X38" i="18"/>
  <c r="Y38" i="18"/>
  <c r="V39" i="18"/>
  <c r="W39" i="18"/>
  <c r="X39" i="18"/>
  <c r="Y39" i="18"/>
  <c r="V32" i="19"/>
  <c r="W32" i="19"/>
  <c r="X32" i="19"/>
  <c r="Y32" i="19"/>
  <c r="N29" i="16"/>
  <c r="AN9" i="23"/>
  <c r="AO9" i="23"/>
  <c r="AP9" i="23"/>
  <c r="AQ9" i="23"/>
  <c r="AN36" i="23"/>
  <c r="AO36" i="23"/>
  <c r="AP36" i="23"/>
  <c r="AQ36" i="23"/>
  <c r="AN37" i="23"/>
  <c r="AO37" i="23"/>
  <c r="AP37" i="23"/>
  <c r="AQ37" i="23"/>
  <c r="AN38" i="23"/>
  <c r="AO38" i="23"/>
  <c r="AP38" i="23"/>
  <c r="AQ38" i="23"/>
  <c r="AE9" i="23"/>
  <c r="AF9" i="23"/>
  <c r="AG9" i="23"/>
  <c r="AH9" i="23"/>
  <c r="AE10" i="23"/>
  <c r="AF10" i="23"/>
  <c r="AG10" i="23"/>
  <c r="AH10" i="23"/>
  <c r="AE11" i="23"/>
  <c r="AF11" i="23"/>
  <c r="AG11" i="23"/>
  <c r="AH11" i="23"/>
  <c r="AE12" i="23"/>
  <c r="AF12" i="23"/>
  <c r="AG12" i="23"/>
  <c r="AH12" i="23"/>
  <c r="AE24" i="23"/>
  <c r="AF24" i="23"/>
  <c r="AG24" i="23"/>
  <c r="AH24" i="23"/>
  <c r="AE25" i="23"/>
  <c r="AF25" i="23"/>
  <c r="AG25" i="23"/>
  <c r="AH25" i="23"/>
  <c r="AE26" i="23"/>
  <c r="AF26" i="23"/>
  <c r="AG26" i="23"/>
  <c r="AH26" i="23"/>
  <c r="AE27" i="23"/>
  <c r="AF27" i="23"/>
  <c r="AG27" i="23"/>
  <c r="AH27" i="23"/>
  <c r="AE28" i="23"/>
  <c r="AF28" i="23"/>
  <c r="AG28" i="23"/>
  <c r="AH28" i="23"/>
  <c r="AE29" i="23"/>
  <c r="AF29" i="23"/>
  <c r="AG29" i="23"/>
  <c r="AH29" i="23"/>
  <c r="AE31" i="23"/>
  <c r="AF31" i="23"/>
  <c r="AG31" i="23"/>
  <c r="AH31" i="23"/>
  <c r="AE32" i="23"/>
  <c r="AF32" i="23"/>
  <c r="AG32" i="23"/>
  <c r="AH32" i="23"/>
  <c r="AE34" i="23"/>
  <c r="AF34" i="23"/>
  <c r="AG34" i="23"/>
  <c r="AH34" i="23"/>
  <c r="AE35" i="23"/>
  <c r="AF35" i="23"/>
  <c r="AG35" i="23"/>
  <c r="AH35" i="23"/>
  <c r="AE36" i="23"/>
  <c r="AF36" i="23"/>
  <c r="AG36" i="23"/>
  <c r="AH36" i="23"/>
  <c r="AE37" i="23"/>
  <c r="AF37" i="23"/>
  <c r="AG37" i="23"/>
  <c r="AH37" i="23"/>
  <c r="AE38" i="23"/>
  <c r="AF38" i="23"/>
  <c r="AG38" i="23"/>
  <c r="AH38" i="23"/>
  <c r="V9" i="23"/>
  <c r="W9" i="23"/>
  <c r="X9" i="23"/>
  <c r="Y9" i="23"/>
  <c r="V10" i="23"/>
  <c r="W10" i="23"/>
  <c r="X10" i="23"/>
  <c r="Y10" i="23"/>
  <c r="V11" i="23"/>
  <c r="W11" i="23"/>
  <c r="X11" i="23"/>
  <c r="Y11" i="23"/>
  <c r="V12" i="23"/>
  <c r="W12" i="23"/>
  <c r="X12" i="23"/>
  <c r="Y12" i="23"/>
  <c r="V23" i="23"/>
  <c r="W23" i="23"/>
  <c r="X23" i="23"/>
  <c r="Y23" i="23"/>
  <c r="V25" i="23"/>
  <c r="W25" i="23"/>
  <c r="X25" i="23"/>
  <c r="Y25" i="23"/>
  <c r="V26" i="23"/>
  <c r="W26" i="23"/>
  <c r="X26" i="23"/>
  <c r="Y26" i="23"/>
  <c r="V27" i="23"/>
  <c r="W27" i="23"/>
  <c r="X27" i="23"/>
  <c r="Y27" i="23"/>
  <c r="V28" i="23"/>
  <c r="W28" i="23"/>
  <c r="X28" i="23"/>
  <c r="Y28" i="23"/>
  <c r="V29" i="23"/>
  <c r="W29" i="23"/>
  <c r="X29" i="23"/>
  <c r="Y29" i="23"/>
  <c r="V31" i="23"/>
  <c r="W31" i="23"/>
  <c r="X31" i="23"/>
  <c r="Y31" i="23"/>
  <c r="V32" i="23"/>
  <c r="W32" i="23"/>
  <c r="X32" i="23"/>
  <c r="Y32" i="23"/>
  <c r="V33" i="23"/>
  <c r="W33" i="23"/>
  <c r="X33" i="23"/>
  <c r="Y33" i="23"/>
  <c r="V34" i="23"/>
  <c r="W34" i="23"/>
  <c r="X34" i="23"/>
  <c r="Y34" i="23"/>
  <c r="V35" i="23"/>
  <c r="W35" i="23"/>
  <c r="X35" i="23"/>
  <c r="Y35" i="23"/>
  <c r="V36" i="23"/>
  <c r="W36" i="23"/>
  <c r="X36" i="23"/>
  <c r="Y36" i="23"/>
  <c r="V37" i="23"/>
  <c r="W37" i="23"/>
  <c r="X37" i="23"/>
  <c r="Y37" i="23"/>
  <c r="V38" i="23"/>
  <c r="W38" i="23"/>
  <c r="X38" i="23"/>
  <c r="Y38" i="23"/>
  <c r="AN37" i="21"/>
  <c r="AO37" i="21"/>
  <c r="AP37" i="21"/>
  <c r="AQ37" i="21"/>
  <c r="AN38" i="21"/>
  <c r="AO38" i="21"/>
  <c r="AP38" i="21"/>
  <c r="AQ38" i="21"/>
  <c r="AE9" i="21"/>
  <c r="AF9" i="21"/>
  <c r="AG9" i="21"/>
  <c r="AH9" i="21"/>
  <c r="AE10" i="21"/>
  <c r="AF10" i="21"/>
  <c r="AG10" i="21"/>
  <c r="AH10" i="21"/>
  <c r="AE11" i="21"/>
  <c r="AF11" i="21"/>
  <c r="AG11" i="21"/>
  <c r="AH11" i="21"/>
  <c r="AE12" i="21"/>
  <c r="AF12" i="21"/>
  <c r="AG12" i="21"/>
  <c r="AH12" i="21"/>
  <c r="AE30" i="21"/>
  <c r="AF30" i="21"/>
  <c r="AG30" i="21"/>
  <c r="AH30" i="21"/>
  <c r="AE31" i="21"/>
  <c r="AF31" i="21"/>
  <c r="AG31" i="21"/>
  <c r="AH31" i="21"/>
  <c r="AE32" i="21"/>
  <c r="AF32" i="21"/>
  <c r="AG32" i="21"/>
  <c r="AH32" i="21"/>
  <c r="AE33" i="21"/>
  <c r="AF33" i="21"/>
  <c r="AG33" i="21"/>
  <c r="AH33" i="21"/>
  <c r="AE34" i="21"/>
  <c r="AF34" i="21"/>
  <c r="AG34" i="21"/>
  <c r="AH34" i="21"/>
  <c r="AE35" i="21"/>
  <c r="AF35" i="21"/>
  <c r="AG35" i="21"/>
  <c r="AH35" i="21"/>
  <c r="AE36" i="21"/>
  <c r="AF36" i="21"/>
  <c r="AG36" i="21"/>
  <c r="AH36" i="21"/>
  <c r="AE37" i="21"/>
  <c r="AF37" i="21"/>
  <c r="AG37" i="21"/>
  <c r="AH37" i="21"/>
  <c r="AE38" i="21"/>
  <c r="AF38" i="21"/>
  <c r="AG38" i="21"/>
  <c r="AH38" i="21"/>
  <c r="V9" i="21"/>
  <c r="W9" i="21"/>
  <c r="X9" i="21"/>
  <c r="Y9" i="21"/>
  <c r="V10" i="21"/>
  <c r="W10" i="21"/>
  <c r="X10" i="21"/>
  <c r="Y10" i="21"/>
  <c r="V11" i="21"/>
  <c r="W11" i="21"/>
  <c r="X11" i="21"/>
  <c r="Y11" i="21"/>
  <c r="V12" i="21"/>
  <c r="V29" i="21"/>
  <c r="W29" i="21"/>
  <c r="X29" i="21"/>
  <c r="Y29" i="21"/>
  <c r="V30" i="21"/>
  <c r="W30" i="21"/>
  <c r="X30" i="21"/>
  <c r="Y30" i="21"/>
  <c r="V31" i="21"/>
  <c r="W31" i="21"/>
  <c r="X31" i="21"/>
  <c r="Y31" i="21"/>
  <c r="V32" i="21"/>
  <c r="W32" i="21"/>
  <c r="X32" i="21"/>
  <c r="Y32" i="21"/>
  <c r="V33" i="21"/>
  <c r="W33" i="21"/>
  <c r="X33" i="21"/>
  <c r="Y33" i="21"/>
  <c r="V34" i="21"/>
  <c r="W34" i="21"/>
  <c r="X34" i="21"/>
  <c r="Y34" i="21"/>
  <c r="V35" i="21"/>
  <c r="W35" i="21"/>
  <c r="X35" i="21"/>
  <c r="Y35" i="21"/>
  <c r="V36" i="21"/>
  <c r="W36" i="21"/>
  <c r="X36" i="21"/>
  <c r="Y36" i="21"/>
  <c r="V37" i="21"/>
  <c r="W37" i="21"/>
  <c r="X37" i="21"/>
  <c r="Y37" i="21"/>
  <c r="V38" i="21"/>
  <c r="W38" i="21"/>
  <c r="X38" i="21"/>
  <c r="Y38" i="21"/>
  <c r="AE10" i="19"/>
  <c r="AF10" i="19"/>
  <c r="AG10" i="19"/>
  <c r="AH10" i="19"/>
  <c r="AE12" i="19"/>
  <c r="AF12" i="19"/>
  <c r="AG12" i="19"/>
  <c r="AH12" i="19"/>
  <c r="AE13" i="19"/>
  <c r="AF13" i="19"/>
  <c r="AG13" i="19"/>
  <c r="AH13" i="19"/>
  <c r="AE16" i="19"/>
  <c r="AF16" i="19"/>
  <c r="AG16" i="19"/>
  <c r="AH16" i="19"/>
  <c r="AE17" i="19"/>
  <c r="AF17" i="19"/>
  <c r="AG17" i="19"/>
  <c r="AH17" i="19"/>
  <c r="AE18" i="19"/>
  <c r="AF18" i="19"/>
  <c r="AG18" i="19"/>
  <c r="AH18" i="19"/>
  <c r="AE22" i="19"/>
  <c r="AF22" i="19"/>
  <c r="AG22" i="19"/>
  <c r="AH22" i="19"/>
  <c r="AE23" i="19"/>
  <c r="AF23" i="19"/>
  <c r="AG23" i="19"/>
  <c r="AH23" i="19"/>
  <c r="AE24" i="19"/>
  <c r="AF24" i="19"/>
  <c r="AG24" i="19"/>
  <c r="AH24" i="19"/>
  <c r="AE25" i="19"/>
  <c r="AF25" i="19"/>
  <c r="AG25" i="19"/>
  <c r="AH25" i="19"/>
  <c r="AE26" i="19"/>
  <c r="AF26" i="19"/>
  <c r="AG26" i="19"/>
  <c r="AH26" i="19"/>
  <c r="AE27" i="19"/>
  <c r="AF27" i="19"/>
  <c r="AG27" i="19"/>
  <c r="AH27" i="19"/>
  <c r="AE29" i="19"/>
  <c r="AF29" i="19"/>
  <c r="AG29" i="19"/>
  <c r="AH29" i="19"/>
  <c r="AE30" i="19"/>
  <c r="AF30" i="19"/>
  <c r="AG30" i="19"/>
  <c r="AH30" i="19"/>
  <c r="AE31" i="19"/>
  <c r="AF31" i="19"/>
  <c r="AG31" i="19"/>
  <c r="AH31" i="19"/>
  <c r="AE32" i="19"/>
  <c r="AF32" i="19"/>
  <c r="AG32" i="19"/>
  <c r="AH32" i="19"/>
  <c r="AE33" i="19"/>
  <c r="AF33" i="19"/>
  <c r="AG33" i="19"/>
  <c r="AH33" i="19"/>
  <c r="AE34" i="19"/>
  <c r="AF34" i="19"/>
  <c r="AG34" i="19"/>
  <c r="AH34" i="19"/>
  <c r="AE35" i="19"/>
  <c r="AF35" i="19"/>
  <c r="AG35" i="19"/>
  <c r="AH35" i="19"/>
  <c r="AE36" i="19"/>
  <c r="AF36" i="19"/>
  <c r="AG36" i="19"/>
  <c r="AH36" i="19"/>
  <c r="AE37" i="19"/>
  <c r="AF37" i="19"/>
  <c r="AG37" i="19"/>
  <c r="AH37" i="19"/>
  <c r="AE38" i="19"/>
  <c r="AF38" i="19"/>
  <c r="AG38" i="19"/>
  <c r="AH38" i="19"/>
  <c r="V10" i="19"/>
  <c r="W10" i="19"/>
  <c r="X10" i="19"/>
  <c r="Y10" i="19"/>
  <c r="V11" i="19"/>
  <c r="W11" i="19"/>
  <c r="X11" i="19"/>
  <c r="Y11" i="19"/>
  <c r="V12" i="19"/>
  <c r="W12" i="19"/>
  <c r="X12" i="19"/>
  <c r="Y12" i="19"/>
  <c r="V13" i="19"/>
  <c r="W13" i="19"/>
  <c r="X13" i="19"/>
  <c r="Y13" i="19"/>
  <c r="V16" i="19"/>
  <c r="W16" i="19"/>
  <c r="X16" i="19"/>
  <c r="Y16" i="19"/>
  <c r="V17" i="19"/>
  <c r="W17" i="19"/>
  <c r="X17" i="19"/>
  <c r="Y17" i="19"/>
  <c r="V18" i="19"/>
  <c r="W18" i="19"/>
  <c r="X18" i="19"/>
  <c r="Y18" i="19"/>
  <c r="V22" i="19"/>
  <c r="W22" i="19"/>
  <c r="X22" i="19"/>
  <c r="Y22" i="19"/>
  <c r="V23" i="19"/>
  <c r="W23" i="19"/>
  <c r="X23" i="19"/>
  <c r="Y23" i="19"/>
  <c r="V24" i="19"/>
  <c r="W24" i="19"/>
  <c r="X24" i="19"/>
  <c r="Y24" i="19"/>
  <c r="V25" i="19"/>
  <c r="W25" i="19"/>
  <c r="X25" i="19"/>
  <c r="Y25" i="19"/>
  <c r="V26" i="19"/>
  <c r="W26" i="19"/>
  <c r="X26" i="19"/>
  <c r="Y26" i="19"/>
  <c r="V27" i="19"/>
  <c r="W27" i="19"/>
  <c r="X27" i="19"/>
  <c r="Y27" i="19"/>
  <c r="V28" i="19"/>
  <c r="W28" i="19"/>
  <c r="X28" i="19"/>
  <c r="Y28" i="19"/>
  <c r="V29" i="19"/>
  <c r="W29" i="19"/>
  <c r="X29" i="19"/>
  <c r="Y29" i="19"/>
  <c r="V30" i="19"/>
  <c r="W30" i="19"/>
  <c r="X30" i="19"/>
  <c r="Y30" i="19"/>
  <c r="V31" i="19"/>
  <c r="W31" i="19"/>
  <c r="X31" i="19"/>
  <c r="Y31" i="19"/>
  <c r="V33" i="19"/>
  <c r="W33" i="19"/>
  <c r="X33" i="19"/>
  <c r="Y33" i="19"/>
  <c r="V34" i="19"/>
  <c r="W34" i="19"/>
  <c r="X34" i="19"/>
  <c r="Y34" i="19"/>
  <c r="V35" i="19"/>
  <c r="W35" i="19"/>
  <c r="X35" i="19"/>
  <c r="Y35" i="19"/>
  <c r="V36" i="19"/>
  <c r="W36" i="19"/>
  <c r="X36" i="19"/>
  <c r="Y36" i="19"/>
  <c r="V37" i="19"/>
  <c r="W37" i="19"/>
  <c r="X37" i="19"/>
  <c r="Y37" i="19"/>
  <c r="V38" i="19"/>
  <c r="W38" i="19"/>
  <c r="X38" i="19"/>
  <c r="Y38" i="19"/>
  <c r="AE39" i="22"/>
  <c r="AF39" i="22"/>
  <c r="AG39" i="22"/>
  <c r="AH39" i="22"/>
  <c r="AE38" i="22"/>
  <c r="AF38" i="22"/>
  <c r="AG38" i="22"/>
  <c r="AH38" i="22"/>
  <c r="AE37" i="22"/>
  <c r="AF37" i="22"/>
  <c r="AG37" i="22"/>
  <c r="AH37" i="22"/>
  <c r="AE36" i="22"/>
  <c r="AF36" i="22"/>
  <c r="AG36" i="22"/>
  <c r="AH36" i="22"/>
  <c r="AE35" i="22"/>
  <c r="AF35" i="22"/>
  <c r="AG35" i="22"/>
  <c r="AH35" i="22"/>
  <c r="AE39" i="20"/>
  <c r="AF39" i="20"/>
  <c r="AG39" i="20"/>
  <c r="AH39" i="20"/>
  <c r="V39" i="20"/>
  <c r="W39" i="20"/>
  <c r="X39" i="20"/>
  <c r="Y39" i="20"/>
  <c r="AE38" i="20"/>
  <c r="AF38" i="20"/>
  <c r="AG38" i="20"/>
  <c r="AH38" i="20"/>
  <c r="V38" i="20"/>
  <c r="W38" i="20"/>
  <c r="X38" i="20"/>
  <c r="Y38" i="20"/>
  <c r="AE37" i="20"/>
  <c r="AF37" i="20"/>
  <c r="AG37" i="20"/>
  <c r="AH37" i="20"/>
  <c r="V37" i="20"/>
  <c r="W37" i="20"/>
  <c r="X37" i="20"/>
  <c r="Y37" i="20"/>
  <c r="AE36" i="20"/>
  <c r="AF36" i="20"/>
  <c r="AG36" i="20"/>
  <c r="AH36" i="20"/>
  <c r="V36" i="20"/>
  <c r="W36" i="20"/>
  <c r="X36" i="20"/>
  <c r="Y36" i="20"/>
  <c r="AE35" i="20"/>
  <c r="AF35" i="20"/>
  <c r="AG35" i="20"/>
  <c r="AH35" i="20"/>
  <c r="V35" i="20"/>
  <c r="W35" i="20"/>
  <c r="X35" i="20"/>
  <c r="Y35" i="20"/>
  <c r="AE34" i="20"/>
  <c r="AF34" i="20"/>
  <c r="AG34" i="20"/>
  <c r="AH34" i="20"/>
  <c r="V34" i="20"/>
  <c r="W34" i="20"/>
  <c r="X34" i="20"/>
  <c r="Y34" i="20"/>
  <c r="AE33" i="20"/>
  <c r="AF33" i="20"/>
  <c r="AG33" i="20"/>
  <c r="AH33" i="20"/>
  <c r="V33" i="20"/>
  <c r="W33" i="20"/>
  <c r="X33" i="20"/>
  <c r="Y33" i="20"/>
  <c r="V32" i="20"/>
  <c r="W32" i="20"/>
  <c r="X32" i="20"/>
  <c r="Y32" i="20"/>
  <c r="AE31" i="20"/>
  <c r="AF31" i="20"/>
  <c r="AG31" i="20"/>
  <c r="AH31" i="20"/>
  <c r="V31" i="20"/>
  <c r="W31" i="20"/>
  <c r="X31" i="20"/>
  <c r="Y31" i="20"/>
  <c r="V30" i="20"/>
  <c r="W30" i="20"/>
  <c r="X30" i="20"/>
  <c r="Y30" i="20"/>
  <c r="V29" i="20"/>
  <c r="W29" i="20"/>
  <c r="X29" i="20"/>
  <c r="Y29" i="20"/>
  <c r="AE10" i="20"/>
  <c r="AF10" i="20"/>
  <c r="AG10" i="20"/>
  <c r="AH10" i="20"/>
  <c r="AE9" i="20"/>
  <c r="AF9" i="20"/>
  <c r="AG9" i="20"/>
  <c r="AH9" i="20"/>
  <c r="V9" i="20"/>
  <c r="W9" i="20"/>
  <c r="X9" i="20"/>
  <c r="Y9" i="20"/>
  <c r="Y40" i="20"/>
  <c r="CD9" i="27"/>
  <c r="CE9" i="27"/>
  <c r="CC9" i="27"/>
  <c r="BM38" i="26"/>
  <c r="BN38" i="26"/>
  <c r="BM32" i="26"/>
  <c r="BN32" i="26"/>
  <c r="BM31" i="26"/>
  <c r="BN31" i="26"/>
  <c r="BM25" i="26"/>
  <c r="BN25" i="26"/>
  <c r="BL25" i="26"/>
  <c r="BM24" i="26"/>
  <c r="BN24" i="26"/>
  <c r="BM18" i="26"/>
  <c r="BN18" i="26"/>
  <c r="BM17" i="26"/>
  <c r="BN17" i="26"/>
  <c r="BM11" i="26"/>
  <c r="BN11" i="26"/>
  <c r="BL11" i="26"/>
  <c r="BM10" i="26"/>
  <c r="BN10" i="26"/>
  <c r="BM35" i="25"/>
  <c r="BN35" i="25"/>
  <c r="BM34" i="25"/>
  <c r="BN34" i="25"/>
  <c r="BM28" i="25"/>
  <c r="BN28" i="25"/>
  <c r="BL28" i="25"/>
  <c r="BM27" i="25"/>
  <c r="BN27" i="25"/>
  <c r="BM21" i="25"/>
  <c r="BN21" i="25"/>
  <c r="BM20" i="25"/>
  <c r="BN20" i="25"/>
  <c r="BM14" i="25"/>
  <c r="BN14" i="25"/>
  <c r="BL14" i="25"/>
  <c r="BM13" i="25"/>
  <c r="BN13" i="25"/>
  <c r="BM10" i="25"/>
  <c r="BN10" i="25"/>
  <c r="BM9" i="25"/>
  <c r="BN9" i="25"/>
  <c r="BM37" i="23"/>
  <c r="BN37" i="23"/>
  <c r="BM36" i="23"/>
  <c r="BN36" i="23"/>
  <c r="BM32" i="23"/>
  <c r="BN32" i="23"/>
  <c r="BM30" i="23"/>
  <c r="BN30" i="23"/>
  <c r="BM23" i="23"/>
  <c r="BN23" i="23"/>
  <c r="BM22" i="23"/>
  <c r="BN22" i="23"/>
  <c r="BM16" i="23"/>
  <c r="BN16" i="23"/>
  <c r="BM15" i="23"/>
  <c r="BN15" i="23"/>
  <c r="M9" i="23"/>
  <c r="N9" i="23"/>
  <c r="O9" i="23"/>
  <c r="P9" i="23"/>
  <c r="BM9" i="23"/>
  <c r="BN9" i="23"/>
  <c r="BL9" i="23"/>
  <c r="BM33" i="24"/>
  <c r="BN33" i="24"/>
  <c r="BM32" i="24"/>
  <c r="BN32" i="24"/>
  <c r="BM26" i="24"/>
  <c r="BN26" i="24"/>
  <c r="BL26" i="24"/>
  <c r="BM25" i="24"/>
  <c r="BN25" i="24"/>
  <c r="BM19" i="24"/>
  <c r="BN19" i="24"/>
  <c r="BL19" i="24"/>
  <c r="BM18" i="24"/>
  <c r="BN18" i="24"/>
  <c r="M12" i="24"/>
  <c r="N12" i="24"/>
  <c r="O12" i="24"/>
  <c r="P12" i="24"/>
  <c r="BM12" i="24"/>
  <c r="BN12" i="24"/>
  <c r="BL12" i="24"/>
  <c r="BM11" i="24"/>
  <c r="BN11" i="24"/>
  <c r="BM38" i="22"/>
  <c r="BN38" i="22"/>
  <c r="M36" i="22"/>
  <c r="N36" i="22"/>
  <c r="O36" i="22"/>
  <c r="P36" i="22"/>
  <c r="BM36" i="22"/>
  <c r="BN36" i="22"/>
  <c r="BL36" i="22"/>
  <c r="BM35" i="22"/>
  <c r="BN35" i="22"/>
  <c r="M29" i="22"/>
  <c r="N29" i="22"/>
  <c r="O29" i="22"/>
  <c r="P29" i="22"/>
  <c r="BM29" i="22"/>
  <c r="BN29" i="22"/>
  <c r="BL29" i="22"/>
  <c r="BM28" i="22"/>
  <c r="BN28" i="22"/>
  <c r="M22" i="22"/>
  <c r="N22" i="22"/>
  <c r="O22" i="22"/>
  <c r="P22" i="22"/>
  <c r="BM22" i="22"/>
  <c r="BN22" i="22"/>
  <c r="BL22" i="22"/>
  <c r="BM21" i="22"/>
  <c r="BN21" i="22"/>
  <c r="BM15" i="22"/>
  <c r="BN15" i="22"/>
  <c r="BM14" i="22"/>
  <c r="BN14" i="22"/>
  <c r="BM38" i="21"/>
  <c r="BN38" i="21"/>
  <c r="BM37" i="21"/>
  <c r="BN37" i="21"/>
  <c r="BM31" i="21"/>
  <c r="BN31" i="21"/>
  <c r="BM30" i="21"/>
  <c r="BN30" i="21"/>
  <c r="BM26" i="21"/>
  <c r="BN26" i="21"/>
  <c r="BM24" i="21"/>
  <c r="BN24" i="21"/>
  <c r="BM23" i="21"/>
  <c r="BN23" i="21"/>
  <c r="BM17" i="21"/>
  <c r="BN17" i="21"/>
  <c r="BM16" i="21"/>
  <c r="BN16" i="21"/>
  <c r="BM10" i="21"/>
  <c r="BN10" i="21"/>
  <c r="BM39" i="18"/>
  <c r="BN39" i="18"/>
  <c r="BM34" i="18"/>
  <c r="BN34" i="18"/>
  <c r="BM32" i="18"/>
  <c r="BN32" i="18"/>
  <c r="BM25" i="18"/>
  <c r="BN25" i="18"/>
  <c r="BM18" i="18"/>
  <c r="BN18" i="18"/>
  <c r="BM17" i="18"/>
  <c r="BN17" i="18"/>
  <c r="BM13" i="18"/>
  <c r="BN13" i="18"/>
  <c r="BM10" i="18"/>
  <c r="BN10" i="18"/>
  <c r="BM37" i="1"/>
  <c r="BN37" i="1"/>
  <c r="BG38" i="1"/>
  <c r="BG39" i="1"/>
  <c r="G8" i="16"/>
  <c r="AX3" i="19"/>
  <c r="L5" i="19"/>
  <c r="L4" i="19"/>
  <c r="L3" i="19"/>
  <c r="I4" i="16"/>
  <c r="AX4" i="19"/>
  <c r="L5" i="24"/>
  <c r="L4" i="24"/>
  <c r="L3" i="24"/>
  <c r="L5" i="27"/>
  <c r="L4" i="27"/>
  <c r="L3" i="27"/>
  <c r="BG4" i="27"/>
  <c r="AW3" i="1"/>
  <c r="L5" i="1"/>
  <c r="L4" i="1"/>
  <c r="L3" i="1"/>
  <c r="AW4" i="1"/>
  <c r="B12" i="4"/>
  <c r="B11" i="4"/>
  <c r="AX3" i="5"/>
  <c r="AX3" i="22"/>
  <c r="L5" i="22"/>
  <c r="L4" i="22"/>
  <c r="L3" i="22"/>
  <c r="AX4" i="22"/>
  <c r="AX3" i="21"/>
  <c r="L5" i="21"/>
  <c r="L4" i="21"/>
  <c r="L3" i="21"/>
  <c r="AX4" i="21"/>
  <c r="AX3" i="20"/>
  <c r="L5" i="20"/>
  <c r="L4" i="20"/>
  <c r="L3" i="20"/>
  <c r="AX4" i="20"/>
  <c r="AX3" i="18"/>
  <c r="L5" i="18"/>
  <c r="L4" i="18"/>
  <c r="L3" i="18"/>
  <c r="L5" i="26"/>
  <c r="L4" i="26"/>
  <c r="L3" i="26"/>
  <c r="B3" i="17"/>
  <c r="L5" i="25"/>
  <c r="L4" i="25"/>
  <c r="L3" i="25"/>
  <c r="AX4" i="25"/>
  <c r="J8" i="16"/>
  <c r="J13" i="16"/>
  <c r="J28" i="16"/>
  <c r="J17" i="16"/>
  <c r="J7" i="16"/>
  <c r="J18" i="16"/>
  <c r="L29" i="16"/>
  <c r="G17" i="16"/>
  <c r="G7" i="16"/>
  <c r="G13" i="16"/>
  <c r="G18" i="16"/>
  <c r="L5" i="23"/>
  <c r="L4" i="23"/>
  <c r="L3" i="23"/>
  <c r="BL32" i="26"/>
  <c r="BL18" i="26"/>
  <c r="BL35" i="25"/>
  <c r="BL21" i="25"/>
  <c r="BL37" i="23"/>
  <c r="BL30" i="23"/>
  <c r="BL23" i="23"/>
  <c r="BL16" i="23"/>
  <c r="BL33" i="24"/>
  <c r="BL10" i="21"/>
  <c r="CD15" i="27"/>
  <c r="CE15" i="27"/>
  <c r="CC16" i="27"/>
  <c r="CC37" i="27"/>
  <c r="CC30" i="27"/>
  <c r="CC23" i="27"/>
  <c r="M34" i="27"/>
  <c r="N34" i="27"/>
  <c r="O34" i="27"/>
  <c r="P34" i="27"/>
  <c r="CD34" i="27"/>
  <c r="CE34" i="27"/>
  <c r="M32" i="27"/>
  <c r="N32" i="27"/>
  <c r="O32" i="27"/>
  <c r="P32" i="27"/>
  <c r="CD32" i="27"/>
  <c r="CE32" i="27"/>
  <c r="B11" i="27"/>
  <c r="B14" i="27"/>
  <c r="B12" i="27"/>
  <c r="B13" i="27"/>
  <c r="CD33" i="27"/>
  <c r="CE33" i="27"/>
  <c r="M26" i="27"/>
  <c r="N26" i="27"/>
  <c r="O26" i="27"/>
  <c r="P26" i="27"/>
  <c r="CD26" i="27"/>
  <c r="CE26" i="27"/>
  <c r="M19" i="27"/>
  <c r="N19" i="27"/>
  <c r="O19" i="27"/>
  <c r="P19" i="27"/>
  <c r="CD19" i="27"/>
  <c r="CE19" i="27"/>
  <c r="N11" i="27"/>
  <c r="O11" i="27"/>
  <c r="P11" i="27"/>
  <c r="CD11" i="27"/>
  <c r="CE11" i="27"/>
  <c r="L40" i="27"/>
  <c r="J40" i="27"/>
  <c r="M11" i="27"/>
  <c r="M12" i="27"/>
  <c r="N12" i="27"/>
  <c r="O12" i="27"/>
  <c r="P12" i="27"/>
  <c r="CD12" i="27"/>
  <c r="CE12" i="27"/>
  <c r="N28" i="26"/>
  <c r="O28" i="26"/>
  <c r="P28" i="26"/>
  <c r="BM28" i="26"/>
  <c r="BN28" i="26"/>
  <c r="M28" i="26"/>
  <c r="N15" i="26"/>
  <c r="O15" i="26"/>
  <c r="P15" i="26"/>
  <c r="BM15" i="26"/>
  <c r="BN15" i="26"/>
  <c r="M35" i="26"/>
  <c r="N35" i="26"/>
  <c r="O35" i="26"/>
  <c r="P35" i="26"/>
  <c r="BM35" i="26"/>
  <c r="BN35" i="26"/>
  <c r="N29" i="26"/>
  <c r="O29" i="26"/>
  <c r="P29" i="26"/>
  <c r="M27" i="26"/>
  <c r="N27" i="26"/>
  <c r="O27" i="26"/>
  <c r="P27" i="26"/>
  <c r="BM27" i="26"/>
  <c r="BN27" i="26"/>
  <c r="M20" i="26"/>
  <c r="N20" i="26"/>
  <c r="O20" i="26"/>
  <c r="P20" i="26"/>
  <c r="BM20" i="26"/>
  <c r="BN20" i="26"/>
  <c r="M21" i="26"/>
  <c r="N21" i="26"/>
  <c r="O21" i="26"/>
  <c r="P21" i="26"/>
  <c r="BM21" i="26"/>
  <c r="BN21" i="26"/>
  <c r="BM16" i="26"/>
  <c r="BN16" i="26"/>
  <c r="L39" i="26"/>
  <c r="N32" i="25"/>
  <c r="O32" i="25"/>
  <c r="P32" i="25"/>
  <c r="BM32" i="25"/>
  <c r="BN32" i="25"/>
  <c r="M31" i="25"/>
  <c r="N31" i="25"/>
  <c r="O31" i="25"/>
  <c r="P31" i="25"/>
  <c r="BM31" i="25"/>
  <c r="BN31" i="25"/>
  <c r="M23" i="25"/>
  <c r="N23" i="25"/>
  <c r="O23" i="25"/>
  <c r="P23" i="25"/>
  <c r="BM23" i="25"/>
  <c r="BN23" i="25"/>
  <c r="M24" i="25"/>
  <c r="N24" i="25"/>
  <c r="O24" i="25"/>
  <c r="P24" i="25"/>
  <c r="BM24" i="25"/>
  <c r="BN24" i="25"/>
  <c r="M17" i="25"/>
  <c r="N17" i="25"/>
  <c r="O17" i="25"/>
  <c r="P17" i="25"/>
  <c r="BM17" i="25"/>
  <c r="BN17" i="25"/>
  <c r="M35" i="23"/>
  <c r="N35" i="23"/>
  <c r="O35" i="23"/>
  <c r="P35" i="23"/>
  <c r="BM35" i="23"/>
  <c r="BN35" i="23"/>
  <c r="N17" i="23"/>
  <c r="O17" i="23"/>
  <c r="P17" i="23"/>
  <c r="BM17" i="23"/>
  <c r="BN17" i="23"/>
  <c r="M17" i="23"/>
  <c r="M27" i="23"/>
  <c r="N27" i="23"/>
  <c r="O27" i="23"/>
  <c r="P27" i="23"/>
  <c r="BM27" i="23"/>
  <c r="BN27" i="23"/>
  <c r="N28" i="23"/>
  <c r="O28" i="23"/>
  <c r="P28" i="23"/>
  <c r="BM28" i="23"/>
  <c r="BN28" i="23"/>
  <c r="N11" i="23"/>
  <c r="O11" i="23"/>
  <c r="P11" i="23"/>
  <c r="BM11" i="23"/>
  <c r="BN11" i="23"/>
  <c r="N23" i="24"/>
  <c r="O23" i="24"/>
  <c r="P23" i="24"/>
  <c r="BM23" i="24"/>
  <c r="BN23" i="24"/>
  <c r="M23" i="24"/>
  <c r="N37" i="24"/>
  <c r="O37" i="24"/>
  <c r="P37" i="24"/>
  <c r="BM37" i="24"/>
  <c r="BN37" i="24"/>
  <c r="M36" i="24"/>
  <c r="N36" i="24"/>
  <c r="O36" i="24"/>
  <c r="P36" i="24"/>
  <c r="BM36" i="24"/>
  <c r="BN36" i="24"/>
  <c r="M28" i="24"/>
  <c r="N28" i="24"/>
  <c r="O28" i="24"/>
  <c r="P28" i="24"/>
  <c r="BM28" i="24"/>
  <c r="BN28" i="24"/>
  <c r="M22" i="24"/>
  <c r="N22" i="24"/>
  <c r="O22" i="24"/>
  <c r="P22" i="24"/>
  <c r="BM22" i="24"/>
  <c r="BN22" i="24"/>
  <c r="N16" i="24"/>
  <c r="O16" i="24"/>
  <c r="P16" i="24"/>
  <c r="BM16" i="24"/>
  <c r="BN16" i="24"/>
  <c r="L40" i="24"/>
  <c r="M14" i="24"/>
  <c r="N14" i="24"/>
  <c r="O14" i="24"/>
  <c r="P14" i="24"/>
  <c r="BM14" i="24"/>
  <c r="BN14" i="24"/>
  <c r="N25" i="22"/>
  <c r="O25" i="22"/>
  <c r="P25" i="22"/>
  <c r="BM25" i="22"/>
  <c r="BN25" i="22"/>
  <c r="N32" i="22"/>
  <c r="O32" i="22"/>
  <c r="P32" i="22"/>
  <c r="BM32" i="22"/>
  <c r="BN32" i="22"/>
  <c r="M31" i="22"/>
  <c r="N31" i="22"/>
  <c r="O31" i="22"/>
  <c r="P31" i="22"/>
  <c r="BM31" i="22"/>
  <c r="BN31" i="22"/>
  <c r="M32" i="22"/>
  <c r="M24" i="22"/>
  <c r="N24" i="22"/>
  <c r="O24" i="22"/>
  <c r="P24" i="22"/>
  <c r="BM24" i="22"/>
  <c r="BN24" i="22"/>
  <c r="N19" i="22"/>
  <c r="O19" i="22"/>
  <c r="P19" i="22"/>
  <c r="BM19" i="22"/>
  <c r="BN19" i="22"/>
  <c r="M17" i="22"/>
  <c r="N17" i="22"/>
  <c r="O17" i="22"/>
  <c r="P17" i="22"/>
  <c r="BM17" i="22"/>
  <c r="BN17" i="22"/>
  <c r="N10" i="22"/>
  <c r="O10" i="22"/>
  <c r="P10" i="22"/>
  <c r="BM10" i="22"/>
  <c r="BN10" i="22"/>
  <c r="M10" i="22"/>
  <c r="L40" i="22"/>
  <c r="M11" i="22"/>
  <c r="N11" i="22"/>
  <c r="O11" i="22"/>
  <c r="P11" i="22"/>
  <c r="BM11" i="22"/>
  <c r="BN11" i="22"/>
  <c r="N35" i="21"/>
  <c r="O35" i="21"/>
  <c r="P35" i="21"/>
  <c r="BM35" i="21"/>
  <c r="BN35" i="21"/>
  <c r="M35" i="21"/>
  <c r="N28" i="21"/>
  <c r="O28" i="21"/>
  <c r="P28" i="21"/>
  <c r="BM28" i="21"/>
  <c r="BN28" i="21"/>
  <c r="BM36" i="21"/>
  <c r="BN36" i="21"/>
  <c r="M32" i="21"/>
  <c r="N32" i="21"/>
  <c r="O32" i="21"/>
  <c r="P32" i="21"/>
  <c r="BM32" i="21"/>
  <c r="BN32" i="21"/>
  <c r="N21" i="21"/>
  <c r="O21" i="21"/>
  <c r="P21" i="21"/>
  <c r="BM21" i="21"/>
  <c r="BN21" i="21"/>
  <c r="N14" i="21"/>
  <c r="O14" i="21"/>
  <c r="P14" i="21" s="1"/>
  <c r="BM14" i="21" s="1"/>
  <c r="BN14" i="21" s="1"/>
  <c r="N17" i="20"/>
  <c r="O17" i="20"/>
  <c r="P17" i="20"/>
  <c r="BM17" i="20"/>
  <c r="BN17" i="20"/>
  <c r="M17" i="20"/>
  <c r="N39" i="20"/>
  <c r="O39" i="20"/>
  <c r="P39" i="20"/>
  <c r="BM39" i="20"/>
  <c r="BN39" i="20"/>
  <c r="M35" i="20"/>
  <c r="N35" i="20"/>
  <c r="O35" i="20"/>
  <c r="P35" i="20"/>
  <c r="BM35" i="20"/>
  <c r="BN35" i="20"/>
  <c r="N38" i="20"/>
  <c r="O38" i="20"/>
  <c r="P38" i="20"/>
  <c r="BM38" i="20"/>
  <c r="BN38" i="20"/>
  <c r="M39" i="20"/>
  <c r="N29" i="20"/>
  <c r="O29" i="20"/>
  <c r="P29" i="20"/>
  <c r="BM29" i="20"/>
  <c r="BN29" i="20"/>
  <c r="M30" i="20"/>
  <c r="N30" i="20"/>
  <c r="O30" i="20"/>
  <c r="P30" i="20"/>
  <c r="BM30" i="20"/>
  <c r="BN30" i="20"/>
  <c r="N24" i="20"/>
  <c r="O24" i="20"/>
  <c r="P24" i="20"/>
  <c r="BM24" i="20"/>
  <c r="BN24" i="20"/>
  <c r="M10" i="20"/>
  <c r="N10" i="20"/>
  <c r="O10" i="20"/>
  <c r="P10" i="20"/>
  <c r="BM10" i="20"/>
  <c r="BN10" i="20"/>
  <c r="M34" i="1"/>
  <c r="N34" i="1" s="1"/>
  <c r="O34" i="1" s="1"/>
  <c r="P34" i="1" s="1"/>
  <c r="BM34" i="1" s="1"/>
  <c r="BN34" i="1" s="1"/>
  <c r="N29" i="1"/>
  <c r="O29" i="1"/>
  <c r="P29" i="1"/>
  <c r="BM29" i="1"/>
  <c r="BN29" i="1"/>
  <c r="M13" i="1"/>
  <c r="N13" i="1" s="1"/>
  <c r="O13" i="1" s="1"/>
  <c r="P13" i="1" s="1"/>
  <c r="BM13" i="1" s="1"/>
  <c r="BN13" i="1" s="1"/>
  <c r="N17" i="19"/>
  <c r="O17" i="19"/>
  <c r="P17" i="19"/>
  <c r="BM17" i="19"/>
  <c r="BN17" i="19"/>
  <c r="M24" i="19"/>
  <c r="N24" i="19"/>
  <c r="O24" i="19"/>
  <c r="P24" i="19"/>
  <c r="BM24" i="19"/>
  <c r="BN24" i="19"/>
  <c r="M33" i="19"/>
  <c r="N33" i="19"/>
  <c r="O33" i="19"/>
  <c r="P33" i="19"/>
  <c r="BM33" i="19"/>
  <c r="BN33" i="19"/>
  <c r="M19" i="19"/>
  <c r="N19" i="19"/>
  <c r="O19" i="19"/>
  <c r="P19" i="19"/>
  <c r="BM19" i="19"/>
  <c r="BN19" i="19"/>
  <c r="M30" i="19"/>
  <c r="N30" i="19"/>
  <c r="O30" i="19"/>
  <c r="P30" i="19"/>
  <c r="BM30" i="19"/>
  <c r="BN30" i="19"/>
  <c r="M34" i="19"/>
  <c r="N34" i="19"/>
  <c r="O34" i="19"/>
  <c r="P34" i="19"/>
  <c r="BM34" i="19"/>
  <c r="BN34" i="19"/>
  <c r="M32" i="19"/>
  <c r="N32" i="19"/>
  <c r="O32" i="19"/>
  <c r="P32" i="19"/>
  <c r="BM32" i="19"/>
  <c r="BN32" i="19"/>
  <c r="M25" i="19"/>
  <c r="N25" i="19"/>
  <c r="O25" i="19"/>
  <c r="P25" i="19"/>
  <c r="BM25" i="19"/>
  <c r="BN25" i="19"/>
  <c r="M18" i="19"/>
  <c r="N18" i="19"/>
  <c r="O18" i="19"/>
  <c r="P18" i="19"/>
  <c r="BM18" i="19"/>
  <c r="BN18" i="19"/>
  <c r="L39" i="19"/>
  <c r="B19" i="19"/>
  <c r="B23" i="19"/>
  <c r="B20" i="19"/>
  <c r="B17" i="19"/>
  <c r="B18" i="19"/>
  <c r="N19" i="18"/>
  <c r="O19" i="18"/>
  <c r="P19" i="18"/>
  <c r="BM19" i="18"/>
  <c r="BN19" i="18"/>
  <c r="M19" i="18"/>
  <c r="C9" i="5"/>
  <c r="D9" i="5"/>
  <c r="E9" i="5"/>
  <c r="F9" i="5"/>
  <c r="G9" i="5"/>
  <c r="M28" i="1"/>
  <c r="N28" i="1" s="1"/>
  <c r="O28" i="1" s="1"/>
  <c r="P28" i="1" s="1"/>
  <c r="BM28" i="1" s="1"/>
  <c r="BN28" i="1" s="1"/>
  <c r="L38" i="1"/>
  <c r="J38" i="1" s="1"/>
  <c r="AZ40" i="1" s="1"/>
  <c r="M37" i="5"/>
  <c r="N37" i="5"/>
  <c r="O37" i="5"/>
  <c r="P37" i="5" s="1"/>
  <c r="BN37" i="5" s="1"/>
  <c r="BO37" i="5" s="1"/>
  <c r="M29" i="5"/>
  <c r="N29" i="5" s="1"/>
  <c r="O29" i="5" s="1"/>
  <c r="P29" i="5" s="1"/>
  <c r="BN29" i="5" s="1"/>
  <c r="BO29" i="5" s="1"/>
  <c r="M30" i="5"/>
  <c r="N30" i="5"/>
  <c r="O30" i="5"/>
  <c r="P30" i="5"/>
  <c r="BN30" i="5"/>
  <c r="BO30" i="5"/>
  <c r="M33" i="5"/>
  <c r="N33" i="5"/>
  <c r="O33" i="5"/>
  <c r="P33" i="5"/>
  <c r="BN33" i="5"/>
  <c r="BO33" i="5"/>
  <c r="BN31" i="5"/>
  <c r="BO31" i="5"/>
  <c r="M16" i="5"/>
  <c r="N16" i="5"/>
  <c r="O16" i="5"/>
  <c r="P16" i="5"/>
  <c r="BN16" i="5"/>
  <c r="BO16" i="5"/>
  <c r="M15" i="5"/>
  <c r="N15" i="5"/>
  <c r="O15" i="5"/>
  <c r="P15" i="5"/>
  <c r="BN15" i="5"/>
  <c r="BO15" i="5"/>
  <c r="CD22" i="27"/>
  <c r="CE22" i="27"/>
  <c r="CD29" i="27"/>
  <c r="CE29" i="27"/>
  <c r="L39" i="23"/>
  <c r="BM29" i="26"/>
  <c r="BN29" i="26"/>
  <c r="L40" i="25"/>
  <c r="L40" i="20"/>
  <c r="L40" i="18"/>
  <c r="M40" i="18" s="1"/>
  <c r="N40" i="18" s="1"/>
  <c r="O40" i="18" s="1"/>
  <c r="P40" i="18" s="1"/>
  <c r="BM9" i="26"/>
  <c r="BN9" i="26"/>
  <c r="CD25" i="27"/>
  <c r="CE25" i="27"/>
  <c r="AH40" i="20"/>
  <c r="Z40" i="25"/>
  <c r="AA40" i="25"/>
  <c r="AB40" i="25"/>
  <c r="AC40" i="25"/>
  <c r="U40" i="25"/>
  <c r="AQ39" i="23"/>
  <c r="Z39" i="26"/>
  <c r="AA39" i="26"/>
  <c r="AB39" i="26"/>
  <c r="AC39" i="26"/>
  <c r="U39" i="26"/>
  <c r="AE36" i="16"/>
  <c r="AF36" i="16"/>
  <c r="AG36" i="16"/>
  <c r="AH36" i="16"/>
  <c r="Z40" i="20"/>
  <c r="AA40" i="20"/>
  <c r="AB40" i="20"/>
  <c r="AC40" i="20"/>
  <c r="U40" i="20"/>
  <c r="Z40" i="22"/>
  <c r="AA40" i="22"/>
  <c r="AB40" i="22"/>
  <c r="AC40" i="22"/>
  <c r="U40" i="22"/>
  <c r="AH40" i="24"/>
  <c r="Y39" i="19"/>
  <c r="AH39" i="23"/>
  <c r="AH40" i="22"/>
  <c r="AH39" i="21"/>
  <c r="Y39" i="23"/>
  <c r="AH40" i="18"/>
  <c r="M40" i="27"/>
  <c r="N40" i="27"/>
  <c r="O40" i="27"/>
  <c r="P40" i="27"/>
  <c r="AH40" i="25"/>
  <c r="AQ40" i="18"/>
  <c r="AH39" i="26"/>
  <c r="O18" i="16"/>
  <c r="P18" i="16"/>
  <c r="Q18" i="16"/>
  <c r="R18" i="16"/>
  <c r="AQ40" i="22"/>
  <c r="AQ40" i="24"/>
  <c r="AR40" i="27"/>
  <c r="W12" i="21"/>
  <c r="X12" i="21"/>
  <c r="Y12" i="21"/>
  <c r="Y39" i="21"/>
  <c r="AQ39" i="26"/>
  <c r="Y40" i="24"/>
  <c r="N19" i="16"/>
  <c r="L19" i="16"/>
  <c r="AH39" i="19"/>
  <c r="AW4" i="23"/>
  <c r="AX4" i="26"/>
  <c r="AX4" i="18"/>
  <c r="AX4" i="5"/>
  <c r="AX4" i="24"/>
  <c r="Y40" i="18"/>
  <c r="AQ39" i="21"/>
  <c r="AQ38" i="1"/>
  <c r="C19" i="16"/>
  <c r="D19" i="16"/>
  <c r="E19" i="16"/>
  <c r="Z40" i="27"/>
  <c r="AI40" i="27"/>
  <c r="Y38" i="1"/>
  <c r="P8" i="16"/>
  <c r="Q8" i="16"/>
  <c r="R8" i="16"/>
  <c r="AH38" i="1"/>
  <c r="Y40" i="5"/>
  <c r="AH40" i="5"/>
  <c r="B8" i="16"/>
  <c r="C8" i="16"/>
  <c r="D8" i="16"/>
  <c r="E8" i="16"/>
  <c r="AC9" i="16"/>
  <c r="AC16" i="16"/>
  <c r="AH16" i="16"/>
  <c r="AQ40" i="20"/>
  <c r="AR40" i="5"/>
  <c r="I10" i="5"/>
  <c r="M8" i="26"/>
  <c r="N8" i="26"/>
  <c r="O8" i="26"/>
  <c r="P8" i="26"/>
  <c r="CD18" i="27"/>
  <c r="CE18" i="27"/>
  <c r="AQ40" i="25"/>
  <c r="CD28" i="27"/>
  <c r="CE28" i="27"/>
  <c r="B17" i="27"/>
  <c r="J39" i="26"/>
  <c r="AZ41" i="26"/>
  <c r="BA41" i="26"/>
  <c r="BB41" i="26"/>
  <c r="BC41" i="26"/>
  <c r="BD41" i="26"/>
  <c r="BE41" i="26"/>
  <c r="AV41" i="26"/>
  <c r="I43" i="16"/>
  <c r="M39" i="26"/>
  <c r="N39" i="26"/>
  <c r="O39" i="26"/>
  <c r="P39" i="26"/>
  <c r="J40" i="24"/>
  <c r="AZ42" i="24"/>
  <c r="BA42" i="24"/>
  <c r="BB42" i="24"/>
  <c r="BC42" i="24"/>
  <c r="BD42" i="24"/>
  <c r="BE42" i="24"/>
  <c r="AV42" i="24"/>
  <c r="I40" i="16"/>
  <c r="M40" i="24"/>
  <c r="N40" i="24"/>
  <c r="O40" i="24"/>
  <c r="P40" i="24"/>
  <c r="J40" i="22"/>
  <c r="AZ42" i="22"/>
  <c r="BA42" i="22"/>
  <c r="BB42" i="22"/>
  <c r="BC42" i="22"/>
  <c r="BD42" i="22"/>
  <c r="BE42" i="22"/>
  <c r="AV42" i="22"/>
  <c r="I39" i="16"/>
  <c r="M40" i="22"/>
  <c r="N40" i="22"/>
  <c r="O40" i="22"/>
  <c r="P40" i="22"/>
  <c r="J39" i="19"/>
  <c r="AZ41" i="19"/>
  <c r="BA41" i="19"/>
  <c r="BB41" i="19"/>
  <c r="BC41" i="19"/>
  <c r="BD41" i="19"/>
  <c r="BE41" i="19"/>
  <c r="AV41" i="19"/>
  <c r="I36" i="16"/>
  <c r="M39" i="19"/>
  <c r="N39" i="19"/>
  <c r="O39" i="19"/>
  <c r="P39" i="19"/>
  <c r="B24" i="19"/>
  <c r="C17" i="19"/>
  <c r="D17" i="19"/>
  <c r="E17" i="19"/>
  <c r="F17" i="19"/>
  <c r="J40" i="20"/>
  <c r="AZ42" i="20"/>
  <c r="BA42" i="20"/>
  <c r="BB42" i="20"/>
  <c r="BC42" i="20"/>
  <c r="BD42" i="20"/>
  <c r="BE42" i="20"/>
  <c r="AV42" i="20"/>
  <c r="I37" i="16"/>
  <c r="M40" i="20"/>
  <c r="N40" i="20"/>
  <c r="O40" i="20"/>
  <c r="P40" i="20"/>
  <c r="J39" i="23"/>
  <c r="AZ41" i="23"/>
  <c r="BA41" i="23"/>
  <c r="BB41" i="23"/>
  <c r="BC41" i="23"/>
  <c r="BD41" i="23"/>
  <c r="BE41" i="23"/>
  <c r="AV41" i="23"/>
  <c r="I41" i="16"/>
  <c r="M39" i="23"/>
  <c r="N39" i="23"/>
  <c r="O39" i="23"/>
  <c r="P39" i="23"/>
  <c r="J40" i="25"/>
  <c r="AZ42" i="25"/>
  <c r="M40" i="25"/>
  <c r="N40" i="25"/>
  <c r="O40" i="25"/>
  <c r="P40" i="25"/>
  <c r="H20" i="16"/>
  <c r="A20" i="16"/>
  <c r="AI36" i="16"/>
  <c r="AJ36" i="16"/>
  <c r="AK36" i="16"/>
  <c r="AL36" i="16"/>
  <c r="Z39" i="21"/>
  <c r="AA39" i="21"/>
  <c r="AB39" i="21"/>
  <c r="AC39" i="21"/>
  <c r="U39" i="21"/>
  <c r="A22" i="16"/>
  <c r="H22" i="16"/>
  <c r="B10" i="5"/>
  <c r="I11" i="5"/>
  <c r="AI16" i="16"/>
  <c r="AJ16" i="16"/>
  <c r="AK16" i="16"/>
  <c r="AL16" i="16"/>
  <c r="AD16" i="16"/>
  <c r="AI40" i="5"/>
  <c r="AJ40" i="5"/>
  <c r="AK40" i="5"/>
  <c r="AL40" i="5"/>
  <c r="AD40" i="5"/>
  <c r="AR39" i="21"/>
  <c r="AS39" i="21"/>
  <c r="AT39" i="21"/>
  <c r="AU39" i="21"/>
  <c r="AM39" i="21"/>
  <c r="AD38" i="16"/>
  <c r="Z40" i="18"/>
  <c r="AA40" i="18"/>
  <c r="AB40" i="18"/>
  <c r="AC40" i="18"/>
  <c r="U40" i="18"/>
  <c r="AS40" i="27"/>
  <c r="AT40" i="27"/>
  <c r="AU40" i="27"/>
  <c r="AV40" i="27"/>
  <c r="AN40" i="27"/>
  <c r="AD44" i="16"/>
  <c r="AR40" i="24"/>
  <c r="AS40" i="24"/>
  <c r="AT40" i="24"/>
  <c r="AU40" i="24"/>
  <c r="AM40" i="24"/>
  <c r="AD40" i="16"/>
  <c r="AR40" i="18"/>
  <c r="AS40" i="18"/>
  <c r="AT40" i="18"/>
  <c r="AU40" i="18"/>
  <c r="AM40" i="18"/>
  <c r="AD35" i="16"/>
  <c r="AI39" i="21"/>
  <c r="AJ39" i="21"/>
  <c r="AK39" i="21"/>
  <c r="AL39" i="21"/>
  <c r="AD39" i="21"/>
  <c r="Z39" i="19"/>
  <c r="AA39" i="19"/>
  <c r="AB39" i="19"/>
  <c r="AC39" i="19"/>
  <c r="U39" i="19"/>
  <c r="AR39" i="23"/>
  <c r="AS39" i="23"/>
  <c r="AT39" i="23"/>
  <c r="AU39" i="23"/>
  <c r="AM39" i="23"/>
  <c r="AD41" i="16"/>
  <c r="AR40" i="25"/>
  <c r="AS40" i="25"/>
  <c r="AT40" i="25"/>
  <c r="AU40" i="25"/>
  <c r="AM40" i="25"/>
  <c r="AD42" i="16"/>
  <c r="Z40" i="5"/>
  <c r="AA40" i="5"/>
  <c r="AB40" i="5"/>
  <c r="AC40" i="5"/>
  <c r="U40" i="5"/>
  <c r="BA47" i="5"/>
  <c r="Z38" i="1"/>
  <c r="AA38" i="1"/>
  <c r="AB38" i="1"/>
  <c r="AC38" i="1"/>
  <c r="U38" i="1"/>
  <c r="AZ44" i="1"/>
  <c r="O19" i="16"/>
  <c r="P19" i="16"/>
  <c r="Q19" i="16"/>
  <c r="R19" i="16"/>
  <c r="AR39" i="26"/>
  <c r="AS39" i="26"/>
  <c r="AT39" i="26"/>
  <c r="AU39" i="26"/>
  <c r="AM39" i="26"/>
  <c r="AD43" i="16"/>
  <c r="AR40" i="22"/>
  <c r="AS40" i="22"/>
  <c r="AT40" i="22"/>
  <c r="AU40" i="22"/>
  <c r="AM40" i="22"/>
  <c r="AD39" i="16"/>
  <c r="AI40" i="25"/>
  <c r="AJ40" i="25"/>
  <c r="AK40" i="25"/>
  <c r="AL40" i="25"/>
  <c r="AD40" i="25"/>
  <c r="AI40" i="22"/>
  <c r="AJ40" i="22"/>
  <c r="AK40" i="22"/>
  <c r="AL40" i="22"/>
  <c r="AD40" i="22"/>
  <c r="AI40" i="24"/>
  <c r="AJ40" i="24"/>
  <c r="AK40" i="24"/>
  <c r="AL40" i="24"/>
  <c r="AD40" i="24"/>
  <c r="H26" i="16"/>
  <c r="A26" i="16"/>
  <c r="H25" i="16"/>
  <c r="A25" i="16"/>
  <c r="AI40" i="20"/>
  <c r="AJ40" i="20"/>
  <c r="AK40" i="20"/>
  <c r="AL40" i="20"/>
  <c r="AD40" i="20"/>
  <c r="AI38" i="1"/>
  <c r="AJ38" i="1"/>
  <c r="AK38" i="1"/>
  <c r="AL38" i="1"/>
  <c r="AD38" i="1"/>
  <c r="AJ40" i="27"/>
  <c r="AK40" i="27"/>
  <c r="AL40" i="27"/>
  <c r="AM40" i="27"/>
  <c r="AE40" i="27"/>
  <c r="Z40" i="24"/>
  <c r="AA40" i="24"/>
  <c r="AB40" i="24"/>
  <c r="AC40" i="24"/>
  <c r="U40" i="24"/>
  <c r="AI39" i="26"/>
  <c r="AJ39" i="26"/>
  <c r="AK39" i="26"/>
  <c r="AL39" i="26"/>
  <c r="AD39" i="26"/>
  <c r="AJ40" i="18"/>
  <c r="AK40" i="18"/>
  <c r="AL40" i="18"/>
  <c r="AD40" i="18"/>
  <c r="AI40" i="18"/>
  <c r="AZ46" i="22"/>
  <c r="AS40" i="5"/>
  <c r="AT40" i="5"/>
  <c r="AU40" i="5"/>
  <c r="AV40" i="5"/>
  <c r="AN40" i="5"/>
  <c r="AD33" i="16"/>
  <c r="AR40" i="20"/>
  <c r="AS40" i="20"/>
  <c r="AT40" i="20"/>
  <c r="AU40" i="20"/>
  <c r="AM40" i="20"/>
  <c r="AD37" i="16"/>
  <c r="AA40" i="27"/>
  <c r="AB40" i="27"/>
  <c r="AC40" i="27"/>
  <c r="AD40" i="27"/>
  <c r="V40" i="27"/>
  <c r="AR38" i="1"/>
  <c r="AS38" i="1"/>
  <c r="AT38" i="1"/>
  <c r="AU38" i="1"/>
  <c r="AM38" i="1"/>
  <c r="AD34" i="16"/>
  <c r="AI39" i="19"/>
  <c r="AJ39" i="19"/>
  <c r="AK39" i="19"/>
  <c r="AL39" i="19"/>
  <c r="AD39" i="19"/>
  <c r="BI42" i="27"/>
  <c r="Z39" i="23"/>
  <c r="AA39" i="23"/>
  <c r="AB39" i="23"/>
  <c r="AC39" i="23"/>
  <c r="U39" i="23"/>
  <c r="AI39" i="23"/>
  <c r="AJ39" i="23"/>
  <c r="AK39" i="23"/>
  <c r="AL39" i="23"/>
  <c r="AD39" i="23"/>
  <c r="B18" i="27"/>
  <c r="B20" i="27"/>
  <c r="B21" i="27"/>
  <c r="B19" i="27"/>
  <c r="B25" i="19"/>
  <c r="B27" i="19"/>
  <c r="B30" i="19"/>
  <c r="B26" i="19"/>
  <c r="BA42" i="25"/>
  <c r="BB42" i="25"/>
  <c r="BC42" i="25"/>
  <c r="BD42" i="25"/>
  <c r="BE42" i="25"/>
  <c r="AV42" i="25"/>
  <c r="I42" i="16"/>
  <c r="N27" i="16"/>
  <c r="L27" i="16"/>
  <c r="AE31" i="24"/>
  <c r="AF31" i="24"/>
  <c r="AG31" i="24"/>
  <c r="AH31" i="24"/>
  <c r="N23" i="16"/>
  <c r="L23" i="16"/>
  <c r="AE41" i="16"/>
  <c r="AF41" i="16"/>
  <c r="AG41" i="16"/>
  <c r="AH41" i="16"/>
  <c r="AE44" i="16"/>
  <c r="AF44" i="16"/>
  <c r="AG44" i="16"/>
  <c r="AH44" i="16"/>
  <c r="A27" i="16"/>
  <c r="H27" i="16"/>
  <c r="A11" i="16"/>
  <c r="H11" i="16"/>
  <c r="N26" i="16"/>
  <c r="L26" i="16"/>
  <c r="AE37" i="16"/>
  <c r="AF37" i="16"/>
  <c r="AG37" i="16"/>
  <c r="AH37" i="16"/>
  <c r="AE38" i="16"/>
  <c r="AF38" i="16"/>
  <c r="AG38" i="16"/>
  <c r="AH38" i="16"/>
  <c r="AE33" i="16"/>
  <c r="AF33" i="16"/>
  <c r="AG33" i="16"/>
  <c r="AH33" i="16"/>
  <c r="AE43" i="16"/>
  <c r="AF43" i="16"/>
  <c r="AG43" i="16"/>
  <c r="AH43" i="16"/>
  <c r="A10" i="16"/>
  <c r="H10" i="16"/>
  <c r="AE42" i="16"/>
  <c r="AF42" i="16"/>
  <c r="AG42" i="16"/>
  <c r="AH42" i="16"/>
  <c r="N21" i="16"/>
  <c r="L21" i="16"/>
  <c r="N9" i="16"/>
  <c r="L9" i="16"/>
  <c r="C10" i="5"/>
  <c r="D10" i="5"/>
  <c r="E10" i="5"/>
  <c r="F10" i="5"/>
  <c r="G10" i="5"/>
  <c r="B22" i="16"/>
  <c r="C22" i="16"/>
  <c r="D22" i="16"/>
  <c r="E22" i="16"/>
  <c r="B25" i="16"/>
  <c r="C25" i="16"/>
  <c r="D25" i="16"/>
  <c r="E25" i="16"/>
  <c r="BA44" i="1"/>
  <c r="BB44" i="1"/>
  <c r="BC44" i="1"/>
  <c r="BD44" i="1"/>
  <c r="BE44" i="1"/>
  <c r="AZ46" i="20"/>
  <c r="AE40" i="16"/>
  <c r="AF40" i="16"/>
  <c r="AG40" i="16"/>
  <c r="AH40" i="16"/>
  <c r="AZ46" i="24"/>
  <c r="AZ46" i="18"/>
  <c r="N12" i="16"/>
  <c r="L12" i="16"/>
  <c r="N25" i="16"/>
  <c r="L25" i="16"/>
  <c r="AE34" i="16"/>
  <c r="AF34" i="16"/>
  <c r="AG34" i="16"/>
  <c r="AH34" i="16"/>
  <c r="L11" i="16"/>
  <c r="N11" i="16"/>
  <c r="N10" i="16"/>
  <c r="L10" i="16"/>
  <c r="N20" i="16"/>
  <c r="L20" i="16"/>
  <c r="B26" i="16"/>
  <c r="C26" i="16"/>
  <c r="D26" i="16"/>
  <c r="E26" i="16"/>
  <c r="N22" i="16"/>
  <c r="L22" i="16"/>
  <c r="AE39" i="16"/>
  <c r="AF39" i="16"/>
  <c r="AG39" i="16"/>
  <c r="AH39" i="16"/>
  <c r="A12" i="16"/>
  <c r="H12" i="16"/>
  <c r="AE35" i="16"/>
  <c r="AF35" i="16"/>
  <c r="AG35" i="16"/>
  <c r="AH35" i="16"/>
  <c r="H21" i="16"/>
  <c r="A21" i="16"/>
  <c r="B20" i="16"/>
  <c r="C20" i="16"/>
  <c r="D20" i="16"/>
  <c r="E20" i="16"/>
  <c r="H24" i="16"/>
  <c r="A24" i="16"/>
  <c r="BB46" i="22"/>
  <c r="BC46" i="22"/>
  <c r="BD46" i="22"/>
  <c r="BE46" i="22"/>
  <c r="AV46" i="22"/>
  <c r="A9" i="16"/>
  <c r="H9" i="16"/>
  <c r="N24" i="16"/>
  <c r="L24" i="16"/>
  <c r="AZ46" i="25"/>
  <c r="A23" i="16"/>
  <c r="H23" i="16"/>
  <c r="BJ42" i="27"/>
  <c r="BK42" i="27"/>
  <c r="BL42" i="27"/>
  <c r="BM42" i="27"/>
  <c r="BN42" i="27"/>
  <c r="AW42" i="27"/>
  <c r="I44" i="16"/>
  <c r="BC47" i="5"/>
  <c r="BD47" i="5"/>
  <c r="BE47" i="5"/>
  <c r="BF47" i="5"/>
  <c r="AW47" i="5"/>
  <c r="BB47" i="5"/>
  <c r="B11" i="5"/>
  <c r="I12" i="5"/>
  <c r="B24" i="27"/>
  <c r="B25" i="27"/>
  <c r="B26" i="27"/>
  <c r="C30" i="19"/>
  <c r="D30" i="19"/>
  <c r="E30" i="19"/>
  <c r="F30" i="19"/>
  <c r="B31" i="19"/>
  <c r="B32" i="19"/>
  <c r="B33" i="19"/>
  <c r="AI35" i="16"/>
  <c r="AJ35" i="16"/>
  <c r="AK35" i="16"/>
  <c r="AL35" i="16"/>
  <c r="AI40" i="16"/>
  <c r="AJ40" i="16"/>
  <c r="AK40" i="16"/>
  <c r="AL40" i="16"/>
  <c r="AI43" i="16"/>
  <c r="AJ43" i="16"/>
  <c r="AK43" i="16"/>
  <c r="AL43" i="16"/>
  <c r="AI34" i="16"/>
  <c r="AJ34" i="16"/>
  <c r="AK34" i="16"/>
  <c r="AL34" i="16"/>
  <c r="AI44" i="16"/>
  <c r="AJ44" i="16"/>
  <c r="AK44" i="16"/>
  <c r="AL44" i="16"/>
  <c r="AV44" i="1"/>
  <c r="BI46" i="27"/>
  <c r="AI41" i="16"/>
  <c r="AJ41" i="16"/>
  <c r="AK41" i="16"/>
  <c r="AL41" i="16"/>
  <c r="AI39" i="16"/>
  <c r="AJ39" i="16"/>
  <c r="AK39" i="16"/>
  <c r="AL39" i="16"/>
  <c r="P24" i="16"/>
  <c r="Q24" i="16"/>
  <c r="R24" i="16"/>
  <c r="O24" i="16"/>
  <c r="O10" i="16"/>
  <c r="P10" i="16"/>
  <c r="Q10" i="16"/>
  <c r="R10" i="16"/>
  <c r="O12" i="16"/>
  <c r="P12" i="16"/>
  <c r="Q12" i="16"/>
  <c r="R12" i="16"/>
  <c r="AI33" i="16"/>
  <c r="AJ33" i="16"/>
  <c r="AK33" i="16"/>
  <c r="AL33" i="16"/>
  <c r="AH45" i="16"/>
  <c r="AI37" i="16"/>
  <c r="AJ37" i="16"/>
  <c r="AK37" i="16"/>
  <c r="AL37" i="16"/>
  <c r="B27" i="16"/>
  <c r="C27" i="16"/>
  <c r="D27" i="16"/>
  <c r="E27" i="16"/>
  <c r="O23" i="16"/>
  <c r="P23" i="16"/>
  <c r="Q23" i="16"/>
  <c r="R23" i="16"/>
  <c r="B12" i="5"/>
  <c r="I13" i="5"/>
  <c r="O11" i="16"/>
  <c r="P11" i="16"/>
  <c r="Q11" i="16"/>
  <c r="R11" i="16"/>
  <c r="BB46" i="20"/>
  <c r="BC46" i="20"/>
  <c r="BD46" i="20"/>
  <c r="BE46" i="20"/>
  <c r="AV46" i="20"/>
  <c r="O21" i="16"/>
  <c r="P21" i="16"/>
  <c r="Q21" i="16"/>
  <c r="R21" i="16"/>
  <c r="B10" i="16"/>
  <c r="C10" i="16"/>
  <c r="D10" i="16"/>
  <c r="E10" i="16"/>
  <c r="C11" i="16"/>
  <c r="D11" i="16"/>
  <c r="E11" i="16"/>
  <c r="B11" i="16"/>
  <c r="C11" i="5"/>
  <c r="D11" i="5"/>
  <c r="E11" i="5"/>
  <c r="F11" i="5"/>
  <c r="G11" i="5"/>
  <c r="B21" i="16"/>
  <c r="C21" i="16"/>
  <c r="D21" i="16"/>
  <c r="E21" i="16"/>
  <c r="A28" i="16"/>
  <c r="B12" i="16"/>
  <c r="C12" i="16"/>
  <c r="D12" i="16"/>
  <c r="E12" i="16"/>
  <c r="P20" i="16"/>
  <c r="Q20" i="16"/>
  <c r="R20" i="16"/>
  <c r="O20" i="16"/>
  <c r="O25" i="16"/>
  <c r="P25" i="16"/>
  <c r="Q25" i="16"/>
  <c r="R25" i="16"/>
  <c r="BB46" i="24"/>
  <c r="BC46" i="24"/>
  <c r="BD46" i="24"/>
  <c r="BE46" i="24"/>
  <c r="AV46" i="24"/>
  <c r="AI42" i="16"/>
  <c r="AJ42" i="16"/>
  <c r="AK42" i="16"/>
  <c r="AL42" i="16"/>
  <c r="AI38" i="16"/>
  <c r="AJ38" i="16"/>
  <c r="AK38" i="16"/>
  <c r="AL38" i="16"/>
  <c r="B23" i="16"/>
  <c r="C23" i="16"/>
  <c r="D23" i="16"/>
  <c r="E23" i="16"/>
  <c r="B24" i="16"/>
  <c r="C24" i="16"/>
  <c r="D24" i="16"/>
  <c r="E24" i="16"/>
  <c r="BB46" i="18"/>
  <c r="BC46" i="18"/>
  <c r="BD46" i="18"/>
  <c r="BE46" i="18"/>
  <c r="AV46" i="18"/>
  <c r="AZ45" i="21"/>
  <c r="AZ45" i="26"/>
  <c r="AZ45" i="19"/>
  <c r="AZ45" i="23"/>
  <c r="BB46" i="25"/>
  <c r="BC46" i="25"/>
  <c r="BD46" i="25"/>
  <c r="BE46" i="25"/>
  <c r="AV46" i="25"/>
  <c r="C9" i="16"/>
  <c r="D9" i="16"/>
  <c r="E9" i="16"/>
  <c r="B9" i="16"/>
  <c r="O22" i="16"/>
  <c r="P22" i="16"/>
  <c r="Q22" i="16"/>
  <c r="R22" i="16"/>
  <c r="O9" i="16"/>
  <c r="P9" i="16"/>
  <c r="Q9" i="16"/>
  <c r="R9" i="16"/>
  <c r="N13" i="16"/>
  <c r="A45" i="16"/>
  <c r="A47" i="16"/>
  <c r="P26" i="16"/>
  <c r="Q26" i="16"/>
  <c r="R26" i="16"/>
  <c r="O26" i="16"/>
  <c r="O27" i="16"/>
  <c r="P27" i="16"/>
  <c r="Q27" i="16"/>
  <c r="R27" i="16"/>
  <c r="B27" i="27"/>
  <c r="B28" i="27"/>
  <c r="B31" i="27"/>
  <c r="B34" i="19"/>
  <c r="B37" i="19"/>
  <c r="B38" i="19"/>
  <c r="N15" i="16"/>
  <c r="P13" i="16"/>
  <c r="Q13" i="16"/>
  <c r="R13" i="16"/>
  <c r="L13" i="16"/>
  <c r="O13" i="16"/>
  <c r="A13" i="16"/>
  <c r="BB45" i="19"/>
  <c r="BC45" i="19"/>
  <c r="BD45" i="19"/>
  <c r="BE45" i="19"/>
  <c r="AV45" i="19"/>
  <c r="B28" i="16"/>
  <c r="C28" i="16"/>
  <c r="D28" i="16"/>
  <c r="E28" i="16"/>
  <c r="H28" i="16"/>
  <c r="BJ46" i="27"/>
  <c r="BK46" i="27"/>
  <c r="BL46" i="27"/>
  <c r="BM46" i="27"/>
  <c r="BN46" i="27"/>
  <c r="AW46" i="27"/>
  <c r="N28" i="16"/>
  <c r="I14" i="5"/>
  <c r="C12" i="5"/>
  <c r="D12" i="5"/>
  <c r="E12" i="5"/>
  <c r="F12" i="5"/>
  <c r="G12" i="5"/>
  <c r="BB45" i="26"/>
  <c r="BC45" i="26"/>
  <c r="BD45" i="26"/>
  <c r="BE45" i="26"/>
  <c r="AV45" i="26"/>
  <c r="AI45" i="16"/>
  <c r="AJ45" i="16"/>
  <c r="AK45" i="16"/>
  <c r="AL45" i="16"/>
  <c r="B47" i="16"/>
  <c r="C47" i="16"/>
  <c r="D47" i="16"/>
  <c r="E47" i="16"/>
  <c r="BB45" i="21"/>
  <c r="BC45" i="21"/>
  <c r="BD45" i="21"/>
  <c r="BE45" i="21"/>
  <c r="AV45" i="21"/>
  <c r="BB45" i="23"/>
  <c r="BC45" i="23"/>
  <c r="BD45" i="23"/>
  <c r="BE45" i="23"/>
  <c r="AV45" i="23"/>
  <c r="C32" i="27"/>
  <c r="D32" i="27"/>
  <c r="E32" i="27"/>
  <c r="F32" i="27"/>
  <c r="G32" i="27"/>
  <c r="AD45" i="16"/>
  <c r="AE45" i="16"/>
  <c r="I15" i="5"/>
  <c r="O28" i="16"/>
  <c r="P28" i="16"/>
  <c r="Q28" i="16"/>
  <c r="R28" i="16"/>
  <c r="L28" i="16"/>
  <c r="L30" i="16"/>
  <c r="N30" i="16"/>
  <c r="B13" i="16"/>
  <c r="C13" i="16"/>
  <c r="D13" i="16"/>
  <c r="E13" i="16"/>
  <c r="H13" i="16"/>
  <c r="A15" i="16"/>
  <c r="O15" i="16"/>
  <c r="P15" i="16"/>
  <c r="Q15" i="16"/>
  <c r="C33" i="27"/>
  <c r="D33" i="27"/>
  <c r="E33" i="27"/>
  <c r="F33" i="27"/>
  <c r="G33" i="27"/>
  <c r="B15" i="5"/>
  <c r="I16" i="5"/>
  <c r="AF45" i="16"/>
  <c r="AG45" i="16"/>
  <c r="C34" i="27"/>
  <c r="D34" i="27"/>
  <c r="E34" i="27"/>
  <c r="F34" i="27"/>
  <c r="B35" i="27"/>
  <c r="BM13" i="5"/>
  <c r="I17" i="5"/>
  <c r="B16" i="5"/>
  <c r="C15" i="5"/>
  <c r="D15" i="5"/>
  <c r="E15" i="5"/>
  <c r="F15" i="5"/>
  <c r="G15" i="5"/>
  <c r="BM14" i="5"/>
  <c r="C16" i="5"/>
  <c r="D16" i="5"/>
  <c r="E16" i="5"/>
  <c r="F16" i="5"/>
  <c r="G16" i="5"/>
  <c r="B17" i="5"/>
  <c r="I18" i="5"/>
  <c r="C17" i="5"/>
  <c r="D17" i="5"/>
  <c r="E17" i="5"/>
  <c r="F17" i="5"/>
  <c r="G17" i="5"/>
  <c r="B18" i="5"/>
  <c r="I19" i="5"/>
  <c r="C18" i="5"/>
  <c r="D18" i="5"/>
  <c r="E18" i="5"/>
  <c r="F18" i="5"/>
  <c r="G18" i="5"/>
  <c r="B19" i="5"/>
  <c r="I20" i="5"/>
  <c r="C19" i="5"/>
  <c r="D19" i="5"/>
  <c r="E19" i="5"/>
  <c r="F19" i="5"/>
  <c r="G19" i="5"/>
  <c r="I21" i="5"/>
  <c r="B20" i="5"/>
  <c r="C20" i="5"/>
  <c r="D20" i="5"/>
  <c r="E20" i="5"/>
  <c r="F20" i="5"/>
  <c r="B21" i="5"/>
  <c r="I22" i="5"/>
  <c r="B22" i="5"/>
  <c r="I23" i="5"/>
  <c r="C21" i="5"/>
  <c r="D21" i="5"/>
  <c r="E21" i="5"/>
  <c r="F21" i="5"/>
  <c r="B23" i="5"/>
  <c r="I24" i="5"/>
  <c r="C22" i="5"/>
  <c r="D22" i="5"/>
  <c r="E22" i="5"/>
  <c r="F22" i="5"/>
  <c r="G22" i="5"/>
  <c r="I25" i="5"/>
  <c r="B24" i="5"/>
  <c r="C23" i="5"/>
  <c r="D23" i="5"/>
  <c r="E23" i="5"/>
  <c r="F23" i="5"/>
  <c r="G23" i="5"/>
  <c r="C24" i="5"/>
  <c r="D24" i="5"/>
  <c r="E24" i="5"/>
  <c r="F24" i="5"/>
  <c r="G24" i="5"/>
  <c r="B25" i="5"/>
  <c r="I26" i="5"/>
  <c r="B26" i="5"/>
  <c r="I27" i="5"/>
  <c r="C25" i="5"/>
  <c r="D25" i="5"/>
  <c r="E25" i="5"/>
  <c r="F25" i="5"/>
  <c r="G25" i="5"/>
  <c r="C26" i="5"/>
  <c r="D26" i="5"/>
  <c r="E26" i="5"/>
  <c r="F26" i="5"/>
  <c r="G26" i="5"/>
  <c r="B27" i="5"/>
  <c r="I28" i="5"/>
  <c r="C27" i="5"/>
  <c r="D27" i="5"/>
  <c r="E27" i="5"/>
  <c r="F27" i="5"/>
  <c r="I29" i="5"/>
  <c r="B28" i="5"/>
  <c r="C28" i="5"/>
  <c r="D28" i="5"/>
  <c r="E28" i="5"/>
  <c r="F28" i="5"/>
  <c r="I30" i="5"/>
  <c r="B29" i="5"/>
  <c r="C29" i="5"/>
  <c r="D29" i="5"/>
  <c r="E29" i="5"/>
  <c r="F29" i="5"/>
  <c r="G29" i="5"/>
  <c r="B30" i="5"/>
  <c r="I31" i="5"/>
  <c r="B31" i="5"/>
  <c r="I32" i="5"/>
  <c r="C30" i="5"/>
  <c r="D30" i="5"/>
  <c r="E30" i="5"/>
  <c r="F30" i="5"/>
  <c r="G30" i="5"/>
  <c r="B32" i="5"/>
  <c r="I33" i="5"/>
  <c r="C31" i="5"/>
  <c r="D31" i="5"/>
  <c r="E31" i="5"/>
  <c r="F31" i="5"/>
  <c r="G31" i="5"/>
  <c r="C32" i="5"/>
  <c r="D32" i="5"/>
  <c r="E32" i="5"/>
  <c r="F32" i="5"/>
  <c r="G32" i="5"/>
  <c r="I34" i="5"/>
  <c r="B33" i="5"/>
  <c r="C33" i="5"/>
  <c r="D33" i="5"/>
  <c r="E33" i="5"/>
  <c r="F33" i="5"/>
  <c r="G33" i="5"/>
  <c r="B34" i="5"/>
  <c r="I35" i="5"/>
  <c r="B35" i="5"/>
  <c r="I36" i="5"/>
  <c r="C34" i="5"/>
  <c r="D34" i="5"/>
  <c r="E34" i="5"/>
  <c r="F34" i="5"/>
  <c r="B36" i="5"/>
  <c r="I37" i="5"/>
  <c r="C35" i="5"/>
  <c r="D35" i="5"/>
  <c r="E35" i="5"/>
  <c r="F35" i="5"/>
  <c r="B37" i="5"/>
  <c r="I38" i="5"/>
  <c r="C36" i="5"/>
  <c r="D36" i="5"/>
  <c r="E36" i="5"/>
  <c r="F36" i="5"/>
  <c r="G36" i="5"/>
  <c r="C37" i="5"/>
  <c r="D37" i="5"/>
  <c r="E37" i="5"/>
  <c r="F37" i="5"/>
  <c r="G37" i="5"/>
  <c r="B38" i="5"/>
  <c r="I39" i="5"/>
  <c r="B39" i="5"/>
  <c r="I9" i="1"/>
  <c r="C38" i="5"/>
  <c r="D38" i="5"/>
  <c r="E38" i="5"/>
  <c r="F38" i="5"/>
  <c r="G38" i="5"/>
  <c r="B9" i="1"/>
  <c r="I10" i="1"/>
  <c r="C39" i="5"/>
  <c r="D39" i="5"/>
  <c r="E39" i="5"/>
  <c r="F39" i="5"/>
  <c r="G39" i="5"/>
  <c r="G40" i="5"/>
  <c r="B40" i="5"/>
  <c r="BA43" i="5"/>
  <c r="C9" i="1"/>
  <c r="D9" i="1"/>
  <c r="E9" i="1"/>
  <c r="F9" i="1"/>
  <c r="G9" i="1"/>
  <c r="BB43" i="5"/>
  <c r="BC43" i="5"/>
  <c r="BD43" i="5"/>
  <c r="BE43" i="5"/>
  <c r="BF43" i="5"/>
  <c r="AW43" i="5"/>
  <c r="J33" i="16"/>
  <c r="B10" i="1"/>
  <c r="I11" i="1"/>
  <c r="B11" i="1"/>
  <c r="I12" i="1"/>
  <c r="C10" i="1"/>
  <c r="D10" i="1"/>
  <c r="E10" i="1"/>
  <c r="F10" i="1"/>
  <c r="B12" i="1"/>
  <c r="I13" i="1"/>
  <c r="C11" i="1"/>
  <c r="D11" i="1"/>
  <c r="E11" i="1"/>
  <c r="F11" i="1"/>
  <c r="BL10" i="1"/>
  <c r="C12" i="1"/>
  <c r="D12" i="1"/>
  <c r="E12" i="1"/>
  <c r="F12" i="1"/>
  <c r="G12" i="1"/>
  <c r="BL11" i="1"/>
  <c r="B13" i="1"/>
  <c r="I14" i="1"/>
  <c r="B14" i="1"/>
  <c r="I15" i="1"/>
  <c r="C13" i="1"/>
  <c r="D13" i="1"/>
  <c r="E13" i="1"/>
  <c r="F13" i="1"/>
  <c r="G13" i="1"/>
  <c r="B15" i="1"/>
  <c r="I16" i="1"/>
  <c r="C14" i="1"/>
  <c r="D14" i="1"/>
  <c r="E14" i="1"/>
  <c r="F14" i="1"/>
  <c r="G14" i="1"/>
  <c r="C15" i="1"/>
  <c r="D15" i="1"/>
  <c r="E15" i="1"/>
  <c r="F15" i="1"/>
  <c r="G15" i="1"/>
  <c r="B16" i="1"/>
  <c r="I17" i="1"/>
  <c r="C16" i="1"/>
  <c r="D16" i="1"/>
  <c r="E16" i="1"/>
  <c r="F16" i="1"/>
  <c r="G16" i="1"/>
  <c r="B17" i="1"/>
  <c r="I18" i="1"/>
  <c r="C17" i="1"/>
  <c r="D17" i="1"/>
  <c r="E17" i="1"/>
  <c r="F17" i="1"/>
  <c r="B18" i="1"/>
  <c r="I19" i="1"/>
  <c r="BL17" i="1"/>
  <c r="C18" i="1"/>
  <c r="D18" i="1"/>
  <c r="E18" i="1"/>
  <c r="F18" i="1"/>
  <c r="B19" i="1"/>
  <c r="I20" i="1"/>
  <c r="C19" i="1"/>
  <c r="D19" i="1"/>
  <c r="E19" i="1"/>
  <c r="F19" i="1"/>
  <c r="G19" i="1"/>
  <c r="BL18" i="1"/>
  <c r="B20" i="1"/>
  <c r="I21" i="1"/>
  <c r="C20" i="1"/>
  <c r="D20" i="1"/>
  <c r="E20" i="1"/>
  <c r="F20" i="1"/>
  <c r="G20" i="1"/>
  <c r="B21" i="1"/>
  <c r="I22" i="1"/>
  <c r="C21" i="1"/>
  <c r="D21" i="1"/>
  <c r="E21" i="1"/>
  <c r="F21" i="1"/>
  <c r="G21" i="1"/>
  <c r="B22" i="1"/>
  <c r="I23" i="1"/>
  <c r="B23" i="1"/>
  <c r="I24" i="1"/>
  <c r="C22" i="1"/>
  <c r="D22" i="1"/>
  <c r="E22" i="1"/>
  <c r="F22" i="1"/>
  <c r="G22" i="1"/>
  <c r="B24" i="1"/>
  <c r="I25" i="1"/>
  <c r="C23" i="1"/>
  <c r="D23" i="1"/>
  <c r="E23" i="1"/>
  <c r="F23" i="1"/>
  <c r="G23" i="1"/>
  <c r="C24" i="1"/>
  <c r="D24" i="1"/>
  <c r="E24" i="1"/>
  <c r="F24" i="1"/>
  <c r="B25" i="1"/>
  <c r="I26" i="1"/>
  <c r="C25" i="1"/>
  <c r="D25" i="1"/>
  <c r="E25" i="1"/>
  <c r="F25" i="1"/>
  <c r="B26" i="1"/>
  <c r="I27" i="1"/>
  <c r="C26" i="1"/>
  <c r="D26" i="1"/>
  <c r="E26" i="1"/>
  <c r="F26" i="1"/>
  <c r="G26" i="1"/>
  <c r="B27" i="1"/>
  <c r="I28" i="1"/>
  <c r="C27" i="1"/>
  <c r="D27" i="1"/>
  <c r="E27" i="1"/>
  <c r="F27" i="1"/>
  <c r="G27" i="1"/>
  <c r="B28" i="1"/>
  <c r="I29" i="1"/>
  <c r="C28" i="1"/>
  <c r="D28" i="1"/>
  <c r="E28" i="1"/>
  <c r="F28" i="1"/>
  <c r="G28" i="1"/>
  <c r="B29" i="1"/>
  <c r="I30" i="1"/>
  <c r="C29" i="1"/>
  <c r="D29" i="1"/>
  <c r="E29" i="1"/>
  <c r="F29" i="1"/>
  <c r="G29" i="1"/>
  <c r="B30" i="1"/>
  <c r="I31" i="1"/>
  <c r="B31" i="1"/>
  <c r="I32" i="1"/>
  <c r="C30" i="1"/>
  <c r="D30" i="1"/>
  <c r="E30" i="1"/>
  <c r="F30" i="1"/>
  <c r="G30" i="1"/>
  <c r="C31" i="1"/>
  <c r="D31" i="1"/>
  <c r="E31" i="1"/>
  <c r="F31" i="1"/>
  <c r="B32" i="1"/>
  <c r="I33" i="1"/>
  <c r="C32" i="1"/>
  <c r="D32" i="1"/>
  <c r="E32" i="1"/>
  <c r="F32" i="1"/>
  <c r="B33" i="1"/>
  <c r="I34" i="1"/>
  <c r="C33" i="1"/>
  <c r="D33" i="1"/>
  <c r="E33" i="1"/>
  <c r="F33" i="1"/>
  <c r="G33" i="1"/>
  <c r="B34" i="1"/>
  <c r="I35" i="1"/>
  <c r="C34" i="1"/>
  <c r="D34" i="1"/>
  <c r="E34" i="1"/>
  <c r="F34" i="1"/>
  <c r="G34" i="1"/>
  <c r="B35" i="1"/>
  <c r="I36" i="1"/>
  <c r="B36" i="1"/>
  <c r="I37" i="1"/>
  <c r="C35" i="1"/>
  <c r="D35" i="1"/>
  <c r="E35" i="1"/>
  <c r="F35" i="1"/>
  <c r="G35" i="1"/>
  <c r="C36" i="1"/>
  <c r="D36" i="1"/>
  <c r="E36" i="1"/>
  <c r="F36" i="1"/>
  <c r="G36" i="1"/>
  <c r="B37" i="1"/>
  <c r="H37" i="1"/>
  <c r="I9" i="18"/>
  <c r="C37" i="1"/>
  <c r="D37" i="1"/>
  <c r="E37" i="1"/>
  <c r="F37" i="1"/>
  <c r="G38" i="1"/>
  <c r="B38" i="1"/>
  <c r="AZ41" i="1"/>
  <c r="I10" i="18"/>
  <c r="B9" i="18"/>
  <c r="BA41" i="1"/>
  <c r="BB41" i="1"/>
  <c r="BC41" i="1"/>
  <c r="BD41" i="1"/>
  <c r="BE41" i="1"/>
  <c r="AV41" i="1"/>
  <c r="J34" i="16"/>
  <c r="C9" i="18"/>
  <c r="D9" i="18"/>
  <c r="E9" i="18"/>
  <c r="F9" i="18"/>
  <c r="G9" i="18"/>
  <c r="B10" i="18"/>
  <c r="I11" i="18"/>
  <c r="I12" i="18"/>
  <c r="B11" i="18"/>
  <c r="C10" i="18"/>
  <c r="D10" i="18"/>
  <c r="E10" i="18"/>
  <c r="F10" i="18"/>
  <c r="C11" i="18"/>
  <c r="D11" i="18"/>
  <c r="E11" i="18"/>
  <c r="F11" i="18"/>
  <c r="BL10" i="18"/>
  <c r="B12" i="18"/>
  <c r="I13" i="18"/>
  <c r="C12" i="18"/>
  <c r="D12" i="18"/>
  <c r="E12" i="18"/>
  <c r="F12" i="18"/>
  <c r="I14" i="18"/>
  <c r="B13" i="18"/>
  <c r="C13" i="18"/>
  <c r="D13" i="18"/>
  <c r="E13" i="18"/>
  <c r="F13" i="18"/>
  <c r="I15" i="18"/>
  <c r="B14" i="18"/>
  <c r="I16" i="18"/>
  <c r="B15" i="18"/>
  <c r="C14" i="18"/>
  <c r="D14" i="18"/>
  <c r="E14" i="18"/>
  <c r="F14" i="18"/>
  <c r="C15" i="18"/>
  <c r="D15" i="18"/>
  <c r="E15" i="18"/>
  <c r="F15" i="18"/>
  <c r="B16" i="18"/>
  <c r="I17" i="18"/>
  <c r="C16" i="18"/>
  <c r="D16" i="18"/>
  <c r="E16" i="18"/>
  <c r="F16" i="18"/>
  <c r="I18" i="18"/>
  <c r="B17" i="18"/>
  <c r="B18" i="18"/>
  <c r="I19" i="18"/>
  <c r="C17" i="18"/>
  <c r="D17" i="18"/>
  <c r="E17" i="18"/>
  <c r="F17" i="18"/>
  <c r="BL17" i="18"/>
  <c r="I20" i="18"/>
  <c r="B19" i="18"/>
  <c r="C18" i="18"/>
  <c r="D18" i="18"/>
  <c r="E18" i="18"/>
  <c r="F18" i="18"/>
  <c r="B20" i="18"/>
  <c r="I21" i="18"/>
  <c r="C19" i="18"/>
  <c r="D19" i="18"/>
  <c r="E19" i="18"/>
  <c r="F19" i="18"/>
  <c r="I22" i="18"/>
  <c r="B21" i="18"/>
  <c r="C20" i="18"/>
  <c r="D20" i="18"/>
  <c r="E20" i="18"/>
  <c r="F20" i="18"/>
  <c r="I23" i="18"/>
  <c r="B22" i="18"/>
  <c r="C21" i="18"/>
  <c r="D21" i="18"/>
  <c r="E21" i="18"/>
  <c r="F21" i="18"/>
  <c r="I24" i="18"/>
  <c r="B23" i="18"/>
  <c r="C22" i="18"/>
  <c r="D22" i="18"/>
  <c r="E22" i="18"/>
  <c r="F22" i="18"/>
  <c r="C23" i="18"/>
  <c r="D23" i="18"/>
  <c r="E23" i="18"/>
  <c r="F23" i="18"/>
  <c r="B24" i="18"/>
  <c r="I25" i="18"/>
  <c r="C24" i="18"/>
  <c r="D24" i="18"/>
  <c r="E24" i="18"/>
  <c r="F24" i="18"/>
  <c r="I26" i="18"/>
  <c r="B25" i="18"/>
  <c r="BL24" i="18"/>
  <c r="B26" i="18"/>
  <c r="I27" i="18"/>
  <c r="C25" i="18"/>
  <c r="D25" i="18"/>
  <c r="E25" i="18"/>
  <c r="F25" i="18"/>
  <c r="C26" i="18"/>
  <c r="D26" i="18"/>
  <c r="E26" i="18"/>
  <c r="F26" i="18"/>
  <c r="I28" i="18"/>
  <c r="B27" i="18"/>
  <c r="B28" i="18"/>
  <c r="I29" i="18"/>
  <c r="C27" i="18"/>
  <c r="D27" i="18"/>
  <c r="E27" i="18"/>
  <c r="F27" i="18"/>
  <c r="C28" i="18"/>
  <c r="D28" i="18"/>
  <c r="E28" i="18"/>
  <c r="F28" i="18"/>
  <c r="I30" i="18"/>
  <c r="B29" i="18"/>
  <c r="I31" i="18"/>
  <c r="B30" i="18"/>
  <c r="C29" i="18"/>
  <c r="D29" i="18"/>
  <c r="E29" i="18"/>
  <c r="F29" i="18"/>
  <c r="C30" i="18"/>
  <c r="D30" i="18"/>
  <c r="E30" i="18"/>
  <c r="F30" i="18"/>
  <c r="I32" i="18"/>
  <c r="B31" i="18"/>
  <c r="B32" i="18"/>
  <c r="I33" i="18"/>
  <c r="C31" i="18"/>
  <c r="D31" i="18"/>
  <c r="E31" i="18"/>
  <c r="F31" i="18"/>
  <c r="I34" i="18"/>
  <c r="B33" i="18"/>
  <c r="BL31" i="18"/>
  <c r="C32" i="18"/>
  <c r="D32" i="18"/>
  <c r="E32" i="18"/>
  <c r="F32" i="18"/>
  <c r="C33" i="18"/>
  <c r="D33" i="18"/>
  <c r="E33" i="18"/>
  <c r="F33" i="18"/>
  <c r="B34" i="18"/>
  <c r="I35" i="18"/>
  <c r="C34" i="18"/>
  <c r="D34" i="18"/>
  <c r="E34" i="18"/>
  <c r="F34" i="18"/>
  <c r="I36" i="18"/>
  <c r="B35" i="18"/>
  <c r="I37" i="18"/>
  <c r="C35" i="18"/>
  <c r="D35" i="18"/>
  <c r="E35" i="18"/>
  <c r="F35" i="18"/>
  <c r="I38" i="18"/>
  <c r="C36" i="18"/>
  <c r="D36" i="18"/>
  <c r="E36" i="18"/>
  <c r="F36" i="18"/>
  <c r="G36" i="18"/>
  <c r="I39" i="18"/>
  <c r="B38" i="18"/>
  <c r="C37" i="18"/>
  <c r="D37" i="18"/>
  <c r="E37" i="18"/>
  <c r="F37" i="18"/>
  <c r="G37" i="18"/>
  <c r="C38" i="18"/>
  <c r="D38" i="18"/>
  <c r="E38" i="18"/>
  <c r="F38" i="18"/>
  <c r="G40" i="18"/>
  <c r="B39" i="18"/>
  <c r="I9" i="19"/>
  <c r="BL38" i="18"/>
  <c r="C39" i="18"/>
  <c r="D39" i="18"/>
  <c r="E39" i="18"/>
  <c r="F39" i="18"/>
  <c r="B40" i="18"/>
  <c r="AZ43" i="18"/>
  <c r="I10" i="19"/>
  <c r="B9" i="19"/>
  <c r="BA43" i="18"/>
  <c r="BB43" i="18"/>
  <c r="BC43" i="18"/>
  <c r="BD43" i="18"/>
  <c r="BE43" i="18"/>
  <c r="AV43" i="18"/>
  <c r="C9" i="19"/>
  <c r="D9" i="19"/>
  <c r="E9" i="19"/>
  <c r="F9" i="19"/>
  <c r="G9" i="19"/>
  <c r="I11" i="19"/>
  <c r="B10" i="19"/>
  <c r="J35" i="16"/>
  <c r="C10" i="19"/>
  <c r="D10" i="19"/>
  <c r="E10" i="19"/>
  <c r="F10" i="19"/>
  <c r="G10" i="19"/>
  <c r="I12" i="19"/>
  <c r="B11" i="19"/>
  <c r="I13" i="19"/>
  <c r="I14" i="19"/>
  <c r="I15" i="19"/>
  <c r="B12" i="19"/>
  <c r="C11" i="19"/>
  <c r="D11" i="19"/>
  <c r="E11" i="19"/>
  <c r="F11" i="19"/>
  <c r="G11" i="19"/>
  <c r="C12" i="19"/>
  <c r="D12" i="19"/>
  <c r="E12" i="19"/>
  <c r="F12" i="19"/>
  <c r="G12" i="19"/>
  <c r="I16" i="19"/>
  <c r="C15" i="19"/>
  <c r="D15" i="19"/>
  <c r="E15" i="19"/>
  <c r="F15" i="19"/>
  <c r="I17" i="19"/>
  <c r="I18" i="19"/>
  <c r="I19" i="19"/>
  <c r="C16" i="19"/>
  <c r="D16" i="19"/>
  <c r="E16" i="19"/>
  <c r="F16" i="19"/>
  <c r="I20" i="19"/>
  <c r="C18" i="19"/>
  <c r="D18" i="19"/>
  <c r="E18" i="19"/>
  <c r="F18" i="19"/>
  <c r="C19" i="19"/>
  <c r="D19" i="19"/>
  <c r="E19" i="19"/>
  <c r="F19" i="19"/>
  <c r="I21" i="19"/>
  <c r="C20" i="19"/>
  <c r="D20" i="19"/>
  <c r="E20" i="19"/>
  <c r="F20" i="19"/>
  <c r="I22" i="19"/>
  <c r="I23" i="19"/>
  <c r="C21" i="19"/>
  <c r="D21" i="19"/>
  <c r="E21" i="19"/>
  <c r="F21" i="19"/>
  <c r="I24" i="19"/>
  <c r="C22" i="19"/>
  <c r="D22" i="19"/>
  <c r="E22" i="19"/>
  <c r="F22" i="19"/>
  <c r="C23" i="19"/>
  <c r="D23" i="19"/>
  <c r="E23" i="19"/>
  <c r="F23" i="19"/>
  <c r="I25" i="19"/>
  <c r="C24" i="19"/>
  <c r="D24" i="19"/>
  <c r="E24" i="19"/>
  <c r="F24" i="19"/>
  <c r="I26" i="19"/>
  <c r="I27" i="19"/>
  <c r="C25" i="19"/>
  <c r="D25" i="19"/>
  <c r="E25" i="19"/>
  <c r="F25" i="19"/>
  <c r="I28" i="19"/>
  <c r="C26" i="19"/>
  <c r="D26" i="19"/>
  <c r="E26" i="19"/>
  <c r="F26" i="19"/>
  <c r="C27" i="19"/>
  <c r="D27" i="19"/>
  <c r="E27" i="19"/>
  <c r="F27" i="19"/>
  <c r="I29" i="19"/>
  <c r="I30" i="19"/>
  <c r="I31" i="19"/>
  <c r="C28" i="19"/>
  <c r="D28" i="19"/>
  <c r="E28" i="19"/>
  <c r="F28" i="19"/>
  <c r="I32" i="19"/>
  <c r="C31" i="19"/>
  <c r="D31" i="19"/>
  <c r="E31" i="19"/>
  <c r="F31" i="19"/>
  <c r="I33" i="19"/>
  <c r="C32" i="19"/>
  <c r="D32" i="19"/>
  <c r="E32" i="19"/>
  <c r="F32" i="19"/>
  <c r="I34" i="19"/>
  <c r="I35" i="19"/>
  <c r="C33" i="19"/>
  <c r="D33" i="19"/>
  <c r="E33" i="19"/>
  <c r="F33" i="19"/>
  <c r="C34" i="19"/>
  <c r="D34" i="19"/>
  <c r="E34" i="19"/>
  <c r="F34" i="19"/>
  <c r="I36" i="19"/>
  <c r="C35" i="19"/>
  <c r="D35" i="19"/>
  <c r="E35" i="19"/>
  <c r="F35" i="19"/>
  <c r="I37" i="19"/>
  <c r="C36" i="19"/>
  <c r="D36" i="19"/>
  <c r="E36" i="19"/>
  <c r="F36" i="19"/>
  <c r="I38" i="19"/>
  <c r="C37" i="19"/>
  <c r="D37" i="19"/>
  <c r="E37" i="19"/>
  <c r="F37" i="19"/>
  <c r="I9" i="20"/>
  <c r="I10" i="20"/>
  <c r="C38" i="19"/>
  <c r="D38" i="19"/>
  <c r="E38" i="19"/>
  <c r="F38" i="19"/>
  <c r="G39" i="19"/>
  <c r="B39" i="19"/>
  <c r="B10" i="20"/>
  <c r="I11" i="20"/>
  <c r="C10" i="20"/>
  <c r="D10" i="20"/>
  <c r="E10" i="20"/>
  <c r="F10" i="20"/>
  <c r="G10" i="20"/>
  <c r="B11" i="20"/>
  <c r="I12" i="20"/>
  <c r="I13" i="20"/>
  <c r="AZ42" i="19"/>
  <c r="BA42" i="19"/>
  <c r="BB42" i="19"/>
  <c r="BC42" i="19"/>
  <c r="BD42" i="19"/>
  <c r="BE42" i="19"/>
  <c r="AV42" i="19"/>
  <c r="B13" i="20"/>
  <c r="I14" i="20"/>
  <c r="C11" i="20"/>
  <c r="D11" i="20"/>
  <c r="E11" i="20"/>
  <c r="F11" i="20"/>
  <c r="G11" i="20"/>
  <c r="J36" i="16"/>
  <c r="B14" i="20"/>
  <c r="I15" i="20"/>
  <c r="C13" i="20"/>
  <c r="D13" i="20"/>
  <c r="E13" i="20"/>
  <c r="F13" i="20"/>
  <c r="C14" i="20"/>
  <c r="D14" i="20"/>
  <c r="E14" i="20"/>
  <c r="F14" i="20"/>
  <c r="B15" i="20"/>
  <c r="I16" i="20"/>
  <c r="C15" i="20"/>
  <c r="D15" i="20"/>
  <c r="E15" i="20"/>
  <c r="F15" i="20"/>
  <c r="G15" i="20"/>
  <c r="B16" i="20"/>
  <c r="I17" i="20"/>
  <c r="I18" i="20"/>
  <c r="C16" i="20"/>
  <c r="D16" i="20"/>
  <c r="E16" i="20"/>
  <c r="F16" i="20"/>
  <c r="G16" i="20"/>
  <c r="B18" i="20"/>
  <c r="I19" i="20"/>
  <c r="C17" i="20"/>
  <c r="D17" i="20"/>
  <c r="E17" i="20"/>
  <c r="F17" i="20"/>
  <c r="C18" i="20"/>
  <c r="D18" i="20"/>
  <c r="E18" i="20"/>
  <c r="F18" i="20"/>
  <c r="G18" i="20"/>
  <c r="BL17" i="20"/>
  <c r="B19" i="20"/>
  <c r="I20" i="20"/>
  <c r="C19" i="20"/>
  <c r="D19" i="20"/>
  <c r="E19" i="20"/>
  <c r="F19" i="20"/>
  <c r="B20" i="20"/>
  <c r="I21" i="20"/>
  <c r="C20" i="20"/>
  <c r="D20" i="20"/>
  <c r="E20" i="20"/>
  <c r="F20" i="20"/>
  <c r="B21" i="20"/>
  <c r="I22" i="20"/>
  <c r="BL19" i="20"/>
  <c r="B22" i="20"/>
  <c r="I23" i="20"/>
  <c r="C21" i="20"/>
  <c r="D21" i="20"/>
  <c r="E21" i="20"/>
  <c r="F21" i="20"/>
  <c r="C22" i="20"/>
  <c r="D22" i="20"/>
  <c r="E22" i="20"/>
  <c r="F22" i="20"/>
  <c r="G22" i="20"/>
  <c r="B23" i="20"/>
  <c r="I24" i="20"/>
  <c r="C23" i="20"/>
  <c r="D23" i="20"/>
  <c r="E23" i="20"/>
  <c r="F23" i="20"/>
  <c r="G23" i="20"/>
  <c r="B24" i="20"/>
  <c r="B25" i="20"/>
  <c r="I25" i="20"/>
  <c r="I26" i="20"/>
  <c r="C25" i="20"/>
  <c r="D25" i="20"/>
  <c r="E25" i="20"/>
  <c r="F25" i="20"/>
  <c r="G25" i="20"/>
  <c r="C24" i="20"/>
  <c r="D24" i="20"/>
  <c r="E24" i="20"/>
  <c r="F24" i="20"/>
  <c r="G24" i="20"/>
  <c r="B26" i="20"/>
  <c r="I27" i="20"/>
  <c r="C26" i="20"/>
  <c r="D26" i="20"/>
  <c r="E26" i="20"/>
  <c r="F26" i="20"/>
  <c r="B27" i="20"/>
  <c r="I28" i="20"/>
  <c r="I29" i="20"/>
  <c r="C27" i="20"/>
  <c r="D27" i="20"/>
  <c r="E27" i="20"/>
  <c r="F27" i="20"/>
  <c r="B29" i="20"/>
  <c r="I30" i="20"/>
  <c r="C28" i="20"/>
  <c r="D28" i="20"/>
  <c r="E28" i="20"/>
  <c r="F28" i="20"/>
  <c r="C29" i="20"/>
  <c r="D29" i="20"/>
  <c r="E29" i="20"/>
  <c r="F29" i="20"/>
  <c r="G29" i="20"/>
  <c r="BL28" i="20"/>
  <c r="B30" i="20"/>
  <c r="I31" i="20"/>
  <c r="C30" i="20"/>
  <c r="D30" i="20"/>
  <c r="E30" i="20"/>
  <c r="F30" i="20"/>
  <c r="G30" i="20"/>
  <c r="B31" i="20"/>
  <c r="I32" i="20"/>
  <c r="C31" i="20"/>
  <c r="D31" i="20"/>
  <c r="E31" i="20"/>
  <c r="F31" i="20"/>
  <c r="G31" i="20"/>
  <c r="B32" i="20"/>
  <c r="I33" i="20"/>
  <c r="C32" i="20"/>
  <c r="D32" i="20"/>
  <c r="E32" i="20"/>
  <c r="F32" i="20"/>
  <c r="G32" i="20"/>
  <c r="B33" i="20"/>
  <c r="I34" i="20"/>
  <c r="C33" i="20"/>
  <c r="D33" i="20"/>
  <c r="E33" i="20"/>
  <c r="F33" i="20"/>
  <c r="B34" i="20"/>
  <c r="I35" i="20"/>
  <c r="C34" i="20"/>
  <c r="D34" i="20"/>
  <c r="E34" i="20"/>
  <c r="F34" i="20"/>
  <c r="B35" i="20"/>
  <c r="B36" i="20"/>
  <c r="I36" i="20"/>
  <c r="I37" i="20"/>
  <c r="C36" i="20"/>
  <c r="D36" i="20"/>
  <c r="E36" i="20"/>
  <c r="F36" i="20"/>
  <c r="G36" i="20"/>
  <c r="C35" i="20"/>
  <c r="D35" i="20"/>
  <c r="E35" i="20"/>
  <c r="F35" i="20"/>
  <c r="G35" i="20"/>
  <c r="B37" i="20"/>
  <c r="I38" i="20"/>
  <c r="C37" i="20"/>
  <c r="D37" i="20"/>
  <c r="E37" i="20"/>
  <c r="F37" i="20"/>
  <c r="G37" i="20"/>
  <c r="B38" i="20"/>
  <c r="I39" i="20"/>
  <c r="B39" i="20"/>
  <c r="I9" i="21"/>
  <c r="C38" i="20"/>
  <c r="D38" i="20"/>
  <c r="E38" i="20"/>
  <c r="F38" i="20"/>
  <c r="G38" i="20"/>
  <c r="C39" i="20"/>
  <c r="D39" i="20"/>
  <c r="E39" i="20"/>
  <c r="F39" i="20"/>
  <c r="G39" i="20"/>
  <c r="G40" i="20"/>
  <c r="B40" i="20"/>
  <c r="AZ43" i="20"/>
  <c r="B9" i="21"/>
  <c r="I10" i="21"/>
  <c r="BA43" i="20"/>
  <c r="BB43" i="20"/>
  <c r="BC43" i="20"/>
  <c r="BD43" i="20"/>
  <c r="BE43" i="20"/>
  <c r="AV43" i="20"/>
  <c r="J37" i="16"/>
  <c r="I11" i="21"/>
  <c r="C9" i="21"/>
  <c r="D9" i="21"/>
  <c r="E9" i="21"/>
  <c r="F9" i="21"/>
  <c r="B11" i="21"/>
  <c r="I12" i="21"/>
  <c r="C10" i="21"/>
  <c r="D10" i="21"/>
  <c r="E10" i="21"/>
  <c r="F10" i="21"/>
  <c r="C11" i="21"/>
  <c r="D11" i="21"/>
  <c r="E11" i="21"/>
  <c r="F11" i="21"/>
  <c r="G11" i="21"/>
  <c r="B12" i="21"/>
  <c r="I13" i="21"/>
  <c r="I14" i="21"/>
  <c r="L12" i="21"/>
  <c r="M12" i="21" s="1"/>
  <c r="N12" i="21" s="1"/>
  <c r="O12" i="21" s="1"/>
  <c r="P12" i="21" s="1"/>
  <c r="BM12" i="21" s="1"/>
  <c r="BN12" i="21" s="1"/>
  <c r="C12" i="21"/>
  <c r="D12" i="21"/>
  <c r="E12" i="21"/>
  <c r="F12" i="21"/>
  <c r="G12" i="21"/>
  <c r="L39" i="21"/>
  <c r="M39" i="21" s="1"/>
  <c r="B14" i="21"/>
  <c r="I15" i="21"/>
  <c r="C14" i="21"/>
  <c r="D14" i="21"/>
  <c r="E14" i="21"/>
  <c r="F14" i="21"/>
  <c r="G14" i="21"/>
  <c r="B15" i="21"/>
  <c r="I16" i="21"/>
  <c r="C15" i="21"/>
  <c r="D15" i="21"/>
  <c r="E15" i="21"/>
  <c r="F15" i="21"/>
  <c r="G15" i="21"/>
  <c r="B16" i="21"/>
  <c r="I17" i="21"/>
  <c r="C16" i="21"/>
  <c r="D16" i="21"/>
  <c r="E16" i="21"/>
  <c r="F16" i="21"/>
  <c r="B17" i="21"/>
  <c r="I18" i="21"/>
  <c r="C17" i="21"/>
  <c r="D17" i="21"/>
  <c r="E17" i="21"/>
  <c r="F17" i="21"/>
  <c r="B18" i="21"/>
  <c r="I19" i="21"/>
  <c r="B19" i="21"/>
  <c r="I20" i="21"/>
  <c r="C18" i="21"/>
  <c r="D18" i="21"/>
  <c r="E18" i="21"/>
  <c r="F18" i="21"/>
  <c r="G18" i="21"/>
  <c r="C19" i="21"/>
  <c r="D19" i="21"/>
  <c r="E19" i="21"/>
  <c r="F19" i="21"/>
  <c r="G19" i="21"/>
  <c r="B20" i="21"/>
  <c r="I21" i="21"/>
  <c r="C20" i="21"/>
  <c r="D20" i="21"/>
  <c r="E20" i="21"/>
  <c r="F20" i="21"/>
  <c r="G20" i="21"/>
  <c r="B21" i="21"/>
  <c r="I22" i="21"/>
  <c r="B22" i="21"/>
  <c r="I23" i="21"/>
  <c r="C21" i="21"/>
  <c r="D21" i="21"/>
  <c r="E21" i="21"/>
  <c r="F21" i="21"/>
  <c r="G21" i="21"/>
  <c r="B23" i="21"/>
  <c r="I24" i="21"/>
  <c r="C22" i="21"/>
  <c r="D22" i="21"/>
  <c r="E22" i="21"/>
  <c r="F22" i="21"/>
  <c r="G22" i="21"/>
  <c r="C23" i="21"/>
  <c r="D23" i="21"/>
  <c r="E23" i="21"/>
  <c r="F23" i="21"/>
  <c r="B24" i="21"/>
  <c r="I25" i="21"/>
  <c r="C24" i="21"/>
  <c r="D24" i="21"/>
  <c r="E24" i="21"/>
  <c r="F24" i="21"/>
  <c r="B25" i="21"/>
  <c r="I26" i="21"/>
  <c r="C25" i="21"/>
  <c r="D25" i="21"/>
  <c r="E25" i="21"/>
  <c r="F25" i="21"/>
  <c r="G25" i="21"/>
  <c r="B26" i="21"/>
  <c r="I27" i="21"/>
  <c r="C26" i="21"/>
  <c r="D26" i="21"/>
  <c r="E26" i="21"/>
  <c r="F26" i="21"/>
  <c r="G26" i="21"/>
  <c r="B27" i="21"/>
  <c r="I28" i="21"/>
  <c r="B28" i="21"/>
  <c r="I29" i="21"/>
  <c r="C27" i="21"/>
  <c r="D27" i="21"/>
  <c r="E27" i="21"/>
  <c r="F27" i="21"/>
  <c r="G27" i="21"/>
  <c r="B29" i="21"/>
  <c r="I30" i="21"/>
  <c r="C28" i="21"/>
  <c r="D28" i="21"/>
  <c r="E28" i="21"/>
  <c r="F28" i="21"/>
  <c r="G28" i="21"/>
  <c r="C29" i="21"/>
  <c r="D29" i="21"/>
  <c r="E29" i="21"/>
  <c r="F29" i="21"/>
  <c r="G29" i="21"/>
  <c r="B30" i="21"/>
  <c r="I31" i="21"/>
  <c r="C30" i="21"/>
  <c r="D30" i="21"/>
  <c r="E30" i="21"/>
  <c r="F30" i="21"/>
  <c r="B31" i="21"/>
  <c r="I32" i="21"/>
  <c r="C31" i="21"/>
  <c r="D31" i="21"/>
  <c r="E31" i="21"/>
  <c r="F31" i="21"/>
  <c r="B32" i="21"/>
  <c r="I33" i="21"/>
  <c r="C32" i="21"/>
  <c r="D32" i="21"/>
  <c r="E32" i="21"/>
  <c r="F32" i="21"/>
  <c r="G32" i="21"/>
  <c r="B33" i="21"/>
  <c r="I34" i="21"/>
  <c r="C33" i="21"/>
  <c r="D33" i="21"/>
  <c r="E33" i="21"/>
  <c r="F33" i="21"/>
  <c r="G33" i="21"/>
  <c r="B34" i="21"/>
  <c r="I35" i="21"/>
  <c r="C34" i="21"/>
  <c r="D34" i="21"/>
  <c r="E34" i="21"/>
  <c r="F34" i="21"/>
  <c r="G34" i="21"/>
  <c r="B35" i="21"/>
  <c r="I36" i="21"/>
  <c r="C35" i="21"/>
  <c r="D35" i="21"/>
  <c r="E35" i="21"/>
  <c r="F35" i="21"/>
  <c r="G35" i="21"/>
  <c r="B36" i="21"/>
  <c r="I37" i="21"/>
  <c r="C36" i="21"/>
  <c r="D36" i="21"/>
  <c r="E36" i="21"/>
  <c r="F36" i="21"/>
  <c r="G36" i="21"/>
  <c r="B37" i="21"/>
  <c r="I38" i="21"/>
  <c r="C37" i="21"/>
  <c r="D37" i="21"/>
  <c r="E37" i="21"/>
  <c r="F37" i="21"/>
  <c r="G39" i="21"/>
  <c r="B38" i="21"/>
  <c r="I9" i="22"/>
  <c r="C38" i="21"/>
  <c r="D38" i="21"/>
  <c r="E38" i="21"/>
  <c r="F38" i="21"/>
  <c r="B39" i="21"/>
  <c r="AZ42" i="21"/>
  <c r="B9" i="22"/>
  <c r="I10" i="22"/>
  <c r="I11" i="22"/>
  <c r="B10" i="22"/>
  <c r="BA42" i="21"/>
  <c r="BB42" i="21"/>
  <c r="BC42" i="21"/>
  <c r="BD42" i="21"/>
  <c r="BE42" i="21"/>
  <c r="AV42" i="21"/>
  <c r="C9" i="22"/>
  <c r="D9" i="22"/>
  <c r="E9" i="22"/>
  <c r="F9" i="22"/>
  <c r="J38" i="16"/>
  <c r="C10" i="22"/>
  <c r="D10" i="22"/>
  <c r="E10" i="22"/>
  <c r="F10" i="22"/>
  <c r="G10" i="22"/>
  <c r="B11" i="22"/>
  <c r="I12" i="22"/>
  <c r="C11" i="22"/>
  <c r="D11" i="22"/>
  <c r="E11" i="22"/>
  <c r="F11" i="22"/>
  <c r="G11" i="22"/>
  <c r="I13" i="22"/>
  <c r="B12" i="22"/>
  <c r="B13" i="22"/>
  <c r="I14" i="22"/>
  <c r="C12" i="22"/>
  <c r="D12" i="22"/>
  <c r="E12" i="22"/>
  <c r="F12" i="22"/>
  <c r="G12" i="22"/>
  <c r="I15" i="22"/>
  <c r="B14" i="22"/>
  <c r="C13" i="22"/>
  <c r="D13" i="22"/>
  <c r="E13" i="22"/>
  <c r="F13" i="22"/>
  <c r="G13" i="22"/>
  <c r="C14" i="22"/>
  <c r="D14" i="22"/>
  <c r="E14" i="22"/>
  <c r="F14" i="22"/>
  <c r="B15" i="22"/>
  <c r="I16" i="22"/>
  <c r="C15" i="22"/>
  <c r="D15" i="22"/>
  <c r="E15" i="22"/>
  <c r="F15" i="22"/>
  <c r="I17" i="22"/>
  <c r="B16" i="22"/>
  <c r="B17" i="22"/>
  <c r="I18" i="22"/>
  <c r="C16" i="22"/>
  <c r="D16" i="22"/>
  <c r="E16" i="22"/>
  <c r="F16" i="22"/>
  <c r="C17" i="22"/>
  <c r="D17" i="22"/>
  <c r="E17" i="22"/>
  <c r="F17" i="22"/>
  <c r="G17" i="22"/>
  <c r="I19" i="22"/>
  <c r="B18" i="22"/>
  <c r="B19" i="22"/>
  <c r="I20" i="22"/>
  <c r="C18" i="22"/>
  <c r="D18" i="22"/>
  <c r="E18" i="22"/>
  <c r="F18" i="22"/>
  <c r="G18" i="22"/>
  <c r="I21" i="22"/>
  <c r="B20" i="22"/>
  <c r="C19" i="22"/>
  <c r="D19" i="22"/>
  <c r="E19" i="22"/>
  <c r="F19" i="22"/>
  <c r="G19" i="22"/>
  <c r="B21" i="22"/>
  <c r="I22" i="22"/>
  <c r="C20" i="22"/>
  <c r="D20" i="22"/>
  <c r="E20" i="22"/>
  <c r="F20" i="22"/>
  <c r="G20" i="22"/>
  <c r="I23" i="22"/>
  <c r="B22" i="22"/>
  <c r="C21" i="22"/>
  <c r="D21" i="22"/>
  <c r="E21" i="22"/>
  <c r="F21" i="22"/>
  <c r="B23" i="22"/>
  <c r="I24" i="22"/>
  <c r="C22" i="22"/>
  <c r="D22" i="22"/>
  <c r="E22" i="22"/>
  <c r="F22" i="22"/>
  <c r="C23" i="22"/>
  <c r="D23" i="22"/>
  <c r="E23" i="22"/>
  <c r="F23" i="22"/>
  <c r="I25" i="22"/>
  <c r="B24" i="22"/>
  <c r="B25" i="22"/>
  <c r="I26" i="22"/>
  <c r="C24" i="22"/>
  <c r="D24" i="22"/>
  <c r="E24" i="22"/>
  <c r="F24" i="22"/>
  <c r="G24" i="22"/>
  <c r="C25" i="22"/>
  <c r="D25" i="22"/>
  <c r="E25" i="22"/>
  <c r="F25" i="22"/>
  <c r="G25" i="22"/>
  <c r="I27" i="22"/>
  <c r="B26" i="22"/>
  <c r="C26" i="22"/>
  <c r="D26" i="22"/>
  <c r="E26" i="22"/>
  <c r="F26" i="22"/>
  <c r="G26" i="22"/>
  <c r="B27" i="22"/>
  <c r="I28" i="22"/>
  <c r="I29" i="22"/>
  <c r="B28" i="22"/>
  <c r="C27" i="22"/>
  <c r="D27" i="22"/>
  <c r="E27" i="22"/>
  <c r="F27" i="22"/>
  <c r="G27" i="22"/>
  <c r="C28" i="22"/>
  <c r="D28" i="22"/>
  <c r="E28" i="22"/>
  <c r="F28" i="22"/>
  <c r="B29" i="22"/>
  <c r="I30" i="22"/>
  <c r="C29" i="22"/>
  <c r="D29" i="22"/>
  <c r="E29" i="22"/>
  <c r="F29" i="22"/>
  <c r="I31" i="22"/>
  <c r="B30" i="22"/>
  <c r="B31" i="22"/>
  <c r="I32" i="22"/>
  <c r="C30" i="22"/>
  <c r="D30" i="22"/>
  <c r="E30" i="22"/>
  <c r="F30" i="22"/>
  <c r="I33" i="22"/>
  <c r="B32" i="22"/>
  <c r="C31" i="22"/>
  <c r="D31" i="22"/>
  <c r="E31" i="22"/>
  <c r="F31" i="22"/>
  <c r="G31" i="22"/>
  <c r="B33" i="22"/>
  <c r="I34" i="22"/>
  <c r="C32" i="22"/>
  <c r="D32" i="22"/>
  <c r="E32" i="22"/>
  <c r="F32" i="22"/>
  <c r="G32" i="22"/>
  <c r="I35" i="22"/>
  <c r="B34" i="22"/>
  <c r="C33" i="22"/>
  <c r="D33" i="22"/>
  <c r="E33" i="22"/>
  <c r="F33" i="22"/>
  <c r="G33" i="22"/>
  <c r="B35" i="22"/>
  <c r="I36" i="22"/>
  <c r="C34" i="22"/>
  <c r="D34" i="22"/>
  <c r="E34" i="22"/>
  <c r="F34" i="22"/>
  <c r="G34" i="22"/>
  <c r="I37" i="22"/>
  <c r="B36" i="22"/>
  <c r="C35" i="22"/>
  <c r="D35" i="22"/>
  <c r="E35" i="22"/>
  <c r="F35" i="22"/>
  <c r="B37" i="22"/>
  <c r="I38" i="22"/>
  <c r="C36" i="22"/>
  <c r="D36" i="22"/>
  <c r="E36" i="22"/>
  <c r="F36" i="22"/>
  <c r="C37" i="22"/>
  <c r="D37" i="22"/>
  <c r="E37" i="22"/>
  <c r="F37" i="22"/>
  <c r="I39" i="22"/>
  <c r="B38" i="22"/>
  <c r="B39" i="22"/>
  <c r="I9" i="24"/>
  <c r="C38" i="22"/>
  <c r="D38" i="22"/>
  <c r="E38" i="22"/>
  <c r="F38" i="22"/>
  <c r="G38" i="22"/>
  <c r="C39" i="22"/>
  <c r="D39" i="22"/>
  <c r="E39" i="22"/>
  <c r="F39" i="22"/>
  <c r="G39" i="22"/>
  <c r="G40" i="22"/>
  <c r="B40" i="22"/>
  <c r="AZ43" i="22"/>
  <c r="B9" i="24"/>
  <c r="I10" i="24"/>
  <c r="AX3" i="24"/>
  <c r="C9" i="24"/>
  <c r="D9" i="24"/>
  <c r="E9" i="24"/>
  <c r="F9" i="24"/>
  <c r="G9" i="24"/>
  <c r="B10" i="24"/>
  <c r="I11" i="24"/>
  <c r="BA43" i="22"/>
  <c r="BB43" i="22"/>
  <c r="BC43" i="22"/>
  <c r="BD43" i="22"/>
  <c r="BE43" i="22"/>
  <c r="AV43" i="22"/>
  <c r="J39" i="16"/>
  <c r="B11" i="24"/>
  <c r="I12" i="24"/>
  <c r="C10" i="24"/>
  <c r="D10" i="24"/>
  <c r="E10" i="24"/>
  <c r="F10" i="24"/>
  <c r="G10" i="24"/>
  <c r="B12" i="24"/>
  <c r="I13" i="24"/>
  <c r="C11" i="24"/>
  <c r="D11" i="24"/>
  <c r="E11" i="24"/>
  <c r="F11" i="24"/>
  <c r="C12" i="24"/>
  <c r="D12" i="24"/>
  <c r="E12" i="24"/>
  <c r="F12" i="24"/>
  <c r="B13" i="24"/>
  <c r="I14" i="24"/>
  <c r="C13" i="24"/>
  <c r="D13" i="24"/>
  <c r="E13" i="24"/>
  <c r="F13" i="24"/>
  <c r="B14" i="24"/>
  <c r="I15" i="24"/>
  <c r="B15" i="24"/>
  <c r="I16" i="24"/>
  <c r="C14" i="24"/>
  <c r="D14" i="24"/>
  <c r="E14" i="24"/>
  <c r="F14" i="24"/>
  <c r="G14" i="24"/>
  <c r="C15" i="24"/>
  <c r="D15" i="24"/>
  <c r="E15" i="24"/>
  <c r="F15" i="24"/>
  <c r="G15" i="24"/>
  <c r="B16" i="24"/>
  <c r="I17" i="24"/>
  <c r="C16" i="24"/>
  <c r="D16" i="24"/>
  <c r="E16" i="24"/>
  <c r="F16" i="24"/>
  <c r="G16" i="24"/>
  <c r="B17" i="24"/>
  <c r="I18" i="24"/>
  <c r="B18" i="24"/>
  <c r="I19" i="24"/>
  <c r="C17" i="24"/>
  <c r="D17" i="24"/>
  <c r="E17" i="24"/>
  <c r="F17" i="24"/>
  <c r="G17" i="24"/>
  <c r="B19" i="24"/>
  <c r="I20" i="24"/>
  <c r="C18" i="24"/>
  <c r="D18" i="24"/>
  <c r="E18" i="24"/>
  <c r="F18" i="24"/>
  <c r="C19" i="24"/>
  <c r="D19" i="24"/>
  <c r="E19" i="24"/>
  <c r="F19" i="24"/>
  <c r="B20" i="24"/>
  <c r="I21" i="24"/>
  <c r="C20" i="24"/>
  <c r="D20" i="24"/>
  <c r="E20" i="24"/>
  <c r="F20" i="24"/>
  <c r="B21" i="24"/>
  <c r="I22" i="24"/>
  <c r="C21" i="24"/>
  <c r="D21" i="24"/>
  <c r="E21" i="24"/>
  <c r="F21" i="24"/>
  <c r="G21" i="24"/>
  <c r="B22" i="24"/>
  <c r="I23" i="24"/>
  <c r="C22" i="24"/>
  <c r="D22" i="24"/>
  <c r="E22" i="24"/>
  <c r="F22" i="24"/>
  <c r="G22" i="24"/>
  <c r="B23" i="24"/>
  <c r="I24" i="24"/>
  <c r="C23" i="24"/>
  <c r="D23" i="24"/>
  <c r="E23" i="24"/>
  <c r="F23" i="24"/>
  <c r="G23" i="24"/>
  <c r="B24" i="24"/>
  <c r="I25" i="24"/>
  <c r="C24" i="24"/>
  <c r="D24" i="24"/>
  <c r="E24" i="24"/>
  <c r="F24" i="24"/>
  <c r="G24" i="24"/>
  <c r="B25" i="24"/>
  <c r="I26" i="24"/>
  <c r="C25" i="24"/>
  <c r="D25" i="24"/>
  <c r="E25" i="24"/>
  <c r="F25" i="24"/>
  <c r="B26" i="24"/>
  <c r="I27" i="24"/>
  <c r="C26" i="24"/>
  <c r="D26" i="24"/>
  <c r="E26" i="24"/>
  <c r="F26" i="24"/>
  <c r="B27" i="24"/>
  <c r="I28" i="24"/>
  <c r="C27" i="24"/>
  <c r="D27" i="24"/>
  <c r="E27" i="24"/>
  <c r="F27" i="24"/>
  <c r="B28" i="24"/>
  <c r="I29" i="24"/>
  <c r="C28" i="24"/>
  <c r="D28" i="24"/>
  <c r="E28" i="24"/>
  <c r="F28" i="24"/>
  <c r="G28" i="24"/>
  <c r="B29" i="24"/>
  <c r="I30" i="24"/>
  <c r="B30" i="24"/>
  <c r="I31" i="24"/>
  <c r="C29" i="24"/>
  <c r="D29" i="24"/>
  <c r="E29" i="24"/>
  <c r="F29" i="24"/>
  <c r="G29" i="24"/>
  <c r="B31" i="24"/>
  <c r="I32" i="24"/>
  <c r="C30" i="24"/>
  <c r="D30" i="24"/>
  <c r="E30" i="24"/>
  <c r="F30" i="24"/>
  <c r="G30" i="24"/>
  <c r="C31" i="24"/>
  <c r="D31" i="24"/>
  <c r="E31" i="24"/>
  <c r="F31" i="24"/>
  <c r="G31" i="24"/>
  <c r="B32" i="24"/>
  <c r="I33" i="24"/>
  <c r="C32" i="24"/>
  <c r="D32" i="24"/>
  <c r="E32" i="24"/>
  <c r="F32" i="24"/>
  <c r="B33" i="24"/>
  <c r="I34" i="24"/>
  <c r="C33" i="24"/>
  <c r="D33" i="24"/>
  <c r="E33" i="24"/>
  <c r="F33" i="24"/>
  <c r="B34" i="24"/>
  <c r="I35" i="24"/>
  <c r="C34" i="24"/>
  <c r="D34" i="24"/>
  <c r="E34" i="24"/>
  <c r="F34" i="24"/>
  <c r="B35" i="24"/>
  <c r="I36" i="24"/>
  <c r="C35" i="24"/>
  <c r="D35" i="24"/>
  <c r="E35" i="24"/>
  <c r="F35" i="24"/>
  <c r="G35" i="24"/>
  <c r="B36" i="24"/>
  <c r="I37" i="24"/>
  <c r="C36" i="24"/>
  <c r="D36" i="24"/>
  <c r="E36" i="24"/>
  <c r="F36" i="24"/>
  <c r="G36" i="24"/>
  <c r="B37" i="24"/>
  <c r="I38" i="24"/>
  <c r="C37" i="24"/>
  <c r="D37" i="24"/>
  <c r="E37" i="24"/>
  <c r="F37" i="24"/>
  <c r="G37" i="24"/>
  <c r="B38" i="24"/>
  <c r="I39" i="24"/>
  <c r="C38" i="24"/>
  <c r="D38" i="24"/>
  <c r="E38" i="24"/>
  <c r="F38" i="24"/>
  <c r="G38" i="24"/>
  <c r="B39" i="24"/>
  <c r="I9" i="23"/>
  <c r="C39" i="24"/>
  <c r="D39" i="24"/>
  <c r="E39" i="24"/>
  <c r="F39" i="24"/>
  <c r="G39" i="24"/>
  <c r="G40" i="24"/>
  <c r="B40" i="24"/>
  <c r="AZ43" i="24"/>
  <c r="I10" i="23"/>
  <c r="B9" i="23"/>
  <c r="AW3" i="23"/>
  <c r="BA43" i="24"/>
  <c r="BB43" i="24"/>
  <c r="BC43" i="24"/>
  <c r="BD43" i="24"/>
  <c r="BE43" i="24"/>
  <c r="AV43" i="24"/>
  <c r="J40" i="16"/>
  <c r="BL39" i="24"/>
  <c r="C9" i="23"/>
  <c r="D9" i="23"/>
  <c r="E9" i="23"/>
  <c r="F9" i="23"/>
  <c r="B10" i="23"/>
  <c r="I11" i="23"/>
  <c r="I12" i="23"/>
  <c r="B11" i="23"/>
  <c r="C10" i="23"/>
  <c r="D10" i="23"/>
  <c r="E10" i="23"/>
  <c r="F10" i="23"/>
  <c r="C11" i="23"/>
  <c r="D11" i="23"/>
  <c r="E11" i="23"/>
  <c r="F11" i="23"/>
  <c r="G11" i="23"/>
  <c r="B12" i="23"/>
  <c r="I13" i="23"/>
  <c r="C12" i="23"/>
  <c r="D12" i="23"/>
  <c r="E12" i="23"/>
  <c r="F12" i="23"/>
  <c r="G12" i="23"/>
  <c r="I14" i="23"/>
  <c r="B13" i="23"/>
  <c r="C13" i="23"/>
  <c r="D13" i="23"/>
  <c r="E13" i="23"/>
  <c r="F13" i="23"/>
  <c r="G13" i="23"/>
  <c r="B14" i="23"/>
  <c r="I15" i="23"/>
  <c r="C14" i="23"/>
  <c r="D14" i="23"/>
  <c r="E14" i="23"/>
  <c r="F14" i="23"/>
  <c r="G14" i="23"/>
  <c r="I16" i="23"/>
  <c r="B15" i="23"/>
  <c r="C15" i="23"/>
  <c r="D15" i="23"/>
  <c r="E15" i="23"/>
  <c r="F15" i="23"/>
  <c r="B16" i="23"/>
  <c r="I17" i="23"/>
  <c r="C16" i="23"/>
  <c r="D16" i="23"/>
  <c r="E16" i="23"/>
  <c r="F16" i="23"/>
  <c r="I18" i="23"/>
  <c r="B17" i="23"/>
  <c r="B18" i="23"/>
  <c r="I19" i="23"/>
  <c r="C17" i="23"/>
  <c r="D17" i="23"/>
  <c r="E17" i="23"/>
  <c r="F17" i="23"/>
  <c r="C18" i="23"/>
  <c r="D18" i="23"/>
  <c r="E18" i="23"/>
  <c r="F18" i="23"/>
  <c r="G18" i="23"/>
  <c r="I20" i="23"/>
  <c r="B19" i="23"/>
  <c r="B20" i="23"/>
  <c r="I21" i="23"/>
  <c r="C19" i="23"/>
  <c r="D19" i="23"/>
  <c r="E19" i="23"/>
  <c r="F19" i="23"/>
  <c r="G19" i="23"/>
  <c r="I22" i="23"/>
  <c r="B21" i="23"/>
  <c r="C20" i="23"/>
  <c r="D20" i="23"/>
  <c r="E20" i="23"/>
  <c r="F20" i="23"/>
  <c r="G20" i="23"/>
  <c r="B22" i="23"/>
  <c r="I23" i="23"/>
  <c r="C21" i="23"/>
  <c r="D21" i="23"/>
  <c r="E21" i="23"/>
  <c r="F21" i="23"/>
  <c r="G21" i="23"/>
  <c r="C22" i="23"/>
  <c r="D22" i="23"/>
  <c r="E22" i="23"/>
  <c r="F22" i="23"/>
  <c r="I24" i="23"/>
  <c r="B23" i="23"/>
  <c r="B24" i="23"/>
  <c r="I25" i="23"/>
  <c r="C23" i="23"/>
  <c r="D23" i="23"/>
  <c r="E23" i="23"/>
  <c r="F23" i="23"/>
  <c r="C24" i="23"/>
  <c r="D24" i="23"/>
  <c r="E24" i="23"/>
  <c r="F24" i="23"/>
  <c r="I26" i="23"/>
  <c r="B25" i="23"/>
  <c r="B26" i="23"/>
  <c r="I27" i="23"/>
  <c r="C25" i="23"/>
  <c r="D25" i="23"/>
  <c r="E25" i="23"/>
  <c r="F25" i="23"/>
  <c r="G25" i="23"/>
  <c r="C26" i="23"/>
  <c r="D26" i="23"/>
  <c r="E26" i="23"/>
  <c r="F26" i="23"/>
  <c r="G26" i="23"/>
  <c r="I28" i="23"/>
  <c r="B27" i="23"/>
  <c r="B28" i="23"/>
  <c r="I29" i="23"/>
  <c r="C27" i="23"/>
  <c r="D27" i="23"/>
  <c r="E27" i="23"/>
  <c r="F27" i="23"/>
  <c r="G27" i="23"/>
  <c r="I30" i="23"/>
  <c r="B29" i="23"/>
  <c r="C28" i="23"/>
  <c r="D28" i="23"/>
  <c r="E28" i="23"/>
  <c r="F28" i="23"/>
  <c r="G28" i="23"/>
  <c r="B30" i="23"/>
  <c r="I31" i="23"/>
  <c r="C29" i="23"/>
  <c r="D29" i="23"/>
  <c r="E29" i="23"/>
  <c r="F29" i="23"/>
  <c r="C30" i="23"/>
  <c r="D30" i="23"/>
  <c r="E30" i="23"/>
  <c r="F30" i="23"/>
  <c r="I32" i="23"/>
  <c r="B31" i="23"/>
  <c r="B32" i="23"/>
  <c r="I33" i="23"/>
  <c r="C31" i="23"/>
  <c r="D31" i="23"/>
  <c r="E31" i="23"/>
  <c r="F31" i="23"/>
  <c r="C32" i="23"/>
  <c r="D32" i="23"/>
  <c r="E32" i="23"/>
  <c r="F32" i="23"/>
  <c r="G32" i="23"/>
  <c r="I34" i="23"/>
  <c r="B33" i="23"/>
  <c r="B34" i="23"/>
  <c r="I35" i="23"/>
  <c r="C33" i="23"/>
  <c r="D33" i="23"/>
  <c r="E33" i="23"/>
  <c r="F33" i="23"/>
  <c r="G33" i="23"/>
  <c r="C34" i="23"/>
  <c r="D34" i="23"/>
  <c r="E34" i="23"/>
  <c r="F34" i="23"/>
  <c r="G34" i="23"/>
  <c r="I36" i="23"/>
  <c r="B35" i="23"/>
  <c r="C35" i="23"/>
  <c r="D35" i="23"/>
  <c r="E35" i="23"/>
  <c r="F35" i="23"/>
  <c r="G35" i="23"/>
  <c r="B36" i="23"/>
  <c r="I37" i="23"/>
  <c r="I38" i="23"/>
  <c r="B37" i="23"/>
  <c r="C36" i="23"/>
  <c r="D36" i="23"/>
  <c r="E36" i="23"/>
  <c r="F36" i="23"/>
  <c r="G39" i="23"/>
  <c r="I9" i="25"/>
  <c r="B38" i="23"/>
  <c r="C37" i="23"/>
  <c r="D37" i="23"/>
  <c r="E37" i="23"/>
  <c r="F37" i="23"/>
  <c r="B9" i="25"/>
  <c r="I10" i="25"/>
  <c r="AX3" i="25"/>
  <c r="C38" i="23"/>
  <c r="D38" i="23"/>
  <c r="E38" i="23"/>
  <c r="F38" i="23"/>
  <c r="B39" i="23"/>
  <c r="AZ42" i="23"/>
  <c r="C9" i="25"/>
  <c r="D9" i="25"/>
  <c r="E9" i="25"/>
  <c r="F9" i="25"/>
  <c r="G9" i="25"/>
  <c r="BA42" i="23"/>
  <c r="BB42" i="23"/>
  <c r="BC42" i="23"/>
  <c r="BD42" i="23"/>
  <c r="BE42" i="23"/>
  <c r="AV42" i="23"/>
  <c r="J41" i="16"/>
  <c r="I11" i="25"/>
  <c r="B10" i="25"/>
  <c r="C10" i="25"/>
  <c r="D10" i="25"/>
  <c r="E10" i="25"/>
  <c r="F10" i="25"/>
  <c r="G10" i="25"/>
  <c r="B11" i="25"/>
  <c r="I12" i="25"/>
  <c r="C11" i="25"/>
  <c r="D11" i="25"/>
  <c r="E11" i="25"/>
  <c r="F11" i="25"/>
  <c r="G11" i="25"/>
  <c r="I13" i="25"/>
  <c r="B12" i="25"/>
  <c r="C12" i="25"/>
  <c r="D12" i="25"/>
  <c r="E12" i="25"/>
  <c r="F12" i="25"/>
  <c r="G12" i="25"/>
  <c r="B13" i="25"/>
  <c r="I14" i="25"/>
  <c r="I15" i="25"/>
  <c r="B14" i="25"/>
  <c r="C13" i="25"/>
  <c r="D13" i="25"/>
  <c r="E13" i="25"/>
  <c r="F13" i="25"/>
  <c r="B15" i="25"/>
  <c r="I16" i="25"/>
  <c r="C14" i="25"/>
  <c r="D14" i="25"/>
  <c r="E14" i="25"/>
  <c r="F14" i="25"/>
  <c r="C15" i="25"/>
  <c r="D15" i="25"/>
  <c r="E15" i="25"/>
  <c r="F15" i="25"/>
  <c r="I17" i="25"/>
  <c r="B16" i="25"/>
  <c r="B17" i="25"/>
  <c r="I18" i="25"/>
  <c r="C16" i="25"/>
  <c r="D16" i="25"/>
  <c r="E16" i="25"/>
  <c r="F16" i="25"/>
  <c r="G16" i="25"/>
  <c r="C17" i="25"/>
  <c r="D17" i="25"/>
  <c r="E17" i="25"/>
  <c r="F17" i="25"/>
  <c r="G17" i="25"/>
  <c r="I19" i="25"/>
  <c r="B18" i="25"/>
  <c r="C18" i="25"/>
  <c r="D18" i="25"/>
  <c r="E18" i="25"/>
  <c r="F18" i="25"/>
  <c r="G18" i="25"/>
  <c r="B19" i="25"/>
  <c r="I20" i="25"/>
  <c r="I21" i="25"/>
  <c r="B20" i="25"/>
  <c r="C19" i="25"/>
  <c r="D19" i="25"/>
  <c r="E19" i="25"/>
  <c r="F19" i="25"/>
  <c r="G19" i="25"/>
  <c r="C20" i="25"/>
  <c r="D20" i="25"/>
  <c r="E20" i="25"/>
  <c r="F20" i="25"/>
  <c r="B21" i="25"/>
  <c r="I22" i="25"/>
  <c r="C21" i="25"/>
  <c r="D21" i="25"/>
  <c r="E21" i="25"/>
  <c r="F21" i="25"/>
  <c r="I23" i="25"/>
  <c r="B22" i="25"/>
  <c r="B23" i="25"/>
  <c r="I24" i="25"/>
  <c r="C22" i="25"/>
  <c r="D22" i="25"/>
  <c r="E22" i="25"/>
  <c r="F22" i="25"/>
  <c r="C23" i="25"/>
  <c r="D23" i="25"/>
  <c r="E23" i="25"/>
  <c r="F23" i="25"/>
  <c r="G23" i="25"/>
  <c r="I25" i="25"/>
  <c r="B24" i="25"/>
  <c r="C24" i="25"/>
  <c r="D24" i="25"/>
  <c r="E24" i="25"/>
  <c r="F24" i="25"/>
  <c r="G24" i="25"/>
  <c r="B25" i="25"/>
  <c r="I26" i="25"/>
  <c r="C25" i="25"/>
  <c r="D25" i="25"/>
  <c r="E25" i="25"/>
  <c r="F25" i="25"/>
  <c r="G25" i="25"/>
  <c r="I27" i="25"/>
  <c r="B26" i="25"/>
  <c r="C26" i="25"/>
  <c r="D26" i="25"/>
  <c r="E26" i="25"/>
  <c r="F26" i="25"/>
  <c r="G26" i="25"/>
  <c r="B27" i="25"/>
  <c r="I28" i="25"/>
  <c r="C27" i="25"/>
  <c r="D27" i="25"/>
  <c r="E27" i="25"/>
  <c r="F27" i="25"/>
  <c r="I29" i="25"/>
  <c r="B28" i="25"/>
  <c r="B29" i="25"/>
  <c r="I30" i="25"/>
  <c r="C28" i="25"/>
  <c r="D28" i="25"/>
  <c r="E28" i="25"/>
  <c r="F28" i="25"/>
  <c r="C29" i="25"/>
  <c r="D29" i="25"/>
  <c r="E29" i="25"/>
  <c r="F29" i="25"/>
  <c r="I31" i="25"/>
  <c r="B30" i="25"/>
  <c r="B31" i="25"/>
  <c r="I32" i="25"/>
  <c r="C30" i="25"/>
  <c r="D30" i="25"/>
  <c r="E30" i="25"/>
  <c r="F30" i="25"/>
  <c r="G30" i="25"/>
  <c r="C31" i="25"/>
  <c r="D31" i="25"/>
  <c r="E31" i="25"/>
  <c r="F31" i="25"/>
  <c r="G31" i="25"/>
  <c r="I33" i="25"/>
  <c r="B32" i="25"/>
  <c r="C32" i="25"/>
  <c r="D32" i="25"/>
  <c r="E32" i="25"/>
  <c r="F32" i="25"/>
  <c r="G32" i="25"/>
  <c r="B33" i="25"/>
  <c r="I34" i="25"/>
  <c r="I35" i="25"/>
  <c r="B34" i="25"/>
  <c r="C33" i="25"/>
  <c r="D33" i="25"/>
  <c r="E33" i="25"/>
  <c r="F33" i="25"/>
  <c r="G33" i="25"/>
  <c r="B35" i="25"/>
  <c r="I36" i="25"/>
  <c r="C34" i="25"/>
  <c r="D34" i="25"/>
  <c r="E34" i="25"/>
  <c r="F34" i="25"/>
  <c r="C35" i="25"/>
  <c r="D35" i="25"/>
  <c r="E35" i="25"/>
  <c r="F35" i="25"/>
  <c r="I37" i="25"/>
  <c r="B36" i="25"/>
  <c r="B37" i="25"/>
  <c r="I38" i="25"/>
  <c r="C36" i="25"/>
  <c r="D36" i="25"/>
  <c r="E36" i="25"/>
  <c r="F36" i="25"/>
  <c r="C37" i="25"/>
  <c r="D37" i="25"/>
  <c r="E37" i="25"/>
  <c r="F37" i="25"/>
  <c r="G37" i="25"/>
  <c r="I39" i="25"/>
  <c r="B38" i="25"/>
  <c r="C38" i="25"/>
  <c r="D38" i="25"/>
  <c r="E38" i="25"/>
  <c r="F38" i="25"/>
  <c r="G38" i="25"/>
  <c r="B39" i="25"/>
  <c r="I9" i="26"/>
  <c r="B9" i="26"/>
  <c r="I10" i="26"/>
  <c r="AX3" i="26"/>
  <c r="C39" i="25"/>
  <c r="D39" i="25"/>
  <c r="E39" i="25"/>
  <c r="F39" i="25"/>
  <c r="G39" i="25"/>
  <c r="G40" i="25"/>
  <c r="B40" i="25"/>
  <c r="AZ43" i="25"/>
  <c r="BA43" i="25"/>
  <c r="BB43" i="25"/>
  <c r="BC43" i="25"/>
  <c r="BD43" i="25"/>
  <c r="BE43" i="25"/>
  <c r="AV43" i="25"/>
  <c r="J42" i="16"/>
  <c r="B10" i="26"/>
  <c r="I11" i="26"/>
  <c r="C9" i="26"/>
  <c r="D9" i="26"/>
  <c r="E9" i="26"/>
  <c r="F9" i="26"/>
  <c r="G9" i="26"/>
  <c r="C10" i="26"/>
  <c r="D10" i="26"/>
  <c r="E10" i="26"/>
  <c r="F10" i="26"/>
  <c r="B11" i="26"/>
  <c r="I12" i="26"/>
  <c r="C11" i="26"/>
  <c r="D11" i="26"/>
  <c r="E11" i="26"/>
  <c r="F11" i="26"/>
  <c r="B12" i="26"/>
  <c r="I13" i="26"/>
  <c r="B13" i="26"/>
  <c r="I14" i="26"/>
  <c r="C12" i="26"/>
  <c r="D12" i="26"/>
  <c r="E12" i="26"/>
  <c r="F12" i="26"/>
  <c r="B14" i="26"/>
  <c r="I15" i="26"/>
  <c r="C13" i="26"/>
  <c r="D13" i="26"/>
  <c r="E13" i="26"/>
  <c r="F13" i="26"/>
  <c r="G13" i="26"/>
  <c r="B15" i="26"/>
  <c r="I16" i="26"/>
  <c r="C14" i="26"/>
  <c r="D14" i="26"/>
  <c r="E14" i="26"/>
  <c r="F14" i="26"/>
  <c r="G14" i="26"/>
  <c r="C15" i="26"/>
  <c r="D15" i="26"/>
  <c r="E15" i="26"/>
  <c r="F15" i="26"/>
  <c r="G15" i="26"/>
  <c r="B16" i="26"/>
  <c r="I17" i="26"/>
  <c r="C16" i="26"/>
  <c r="D16" i="26"/>
  <c r="E16" i="26"/>
  <c r="F16" i="26"/>
  <c r="G16" i="26"/>
  <c r="B17" i="26"/>
  <c r="I18" i="26"/>
  <c r="B18" i="26"/>
  <c r="I19" i="26"/>
  <c r="C17" i="26"/>
  <c r="D17" i="26"/>
  <c r="E17" i="26"/>
  <c r="F17" i="26"/>
  <c r="C18" i="26"/>
  <c r="D18" i="26"/>
  <c r="E18" i="26"/>
  <c r="F18" i="26"/>
  <c r="B19" i="26"/>
  <c r="I20" i="26"/>
  <c r="C19" i="26"/>
  <c r="D19" i="26"/>
  <c r="E19" i="26"/>
  <c r="F19" i="26"/>
  <c r="B20" i="26"/>
  <c r="I21" i="26"/>
  <c r="C20" i="26"/>
  <c r="D20" i="26"/>
  <c r="E20" i="26"/>
  <c r="F20" i="26"/>
  <c r="G20" i="26"/>
  <c r="B21" i="26"/>
  <c r="I22" i="26"/>
  <c r="C21" i="26"/>
  <c r="D21" i="26"/>
  <c r="E21" i="26"/>
  <c r="F21" i="26"/>
  <c r="G21" i="26"/>
  <c r="B22" i="26"/>
  <c r="I23" i="26"/>
  <c r="B23" i="26"/>
  <c r="I24" i="26"/>
  <c r="C22" i="26"/>
  <c r="D22" i="26"/>
  <c r="E22" i="26"/>
  <c r="F22" i="26"/>
  <c r="G22" i="26"/>
  <c r="B24" i="26"/>
  <c r="I25" i="26"/>
  <c r="C23" i="26"/>
  <c r="D23" i="26"/>
  <c r="E23" i="26"/>
  <c r="F23" i="26"/>
  <c r="G23" i="26"/>
  <c r="C24" i="26"/>
  <c r="D24" i="26"/>
  <c r="E24" i="26"/>
  <c r="F24" i="26"/>
  <c r="B25" i="26"/>
  <c r="I26" i="26"/>
  <c r="C25" i="26"/>
  <c r="D25" i="26"/>
  <c r="E25" i="26"/>
  <c r="F25" i="26"/>
  <c r="B26" i="26"/>
  <c r="I27" i="26"/>
  <c r="C26" i="26"/>
  <c r="D26" i="26"/>
  <c r="E26" i="26"/>
  <c r="F26" i="26"/>
  <c r="B27" i="26"/>
  <c r="I28" i="26"/>
  <c r="C27" i="26"/>
  <c r="D27" i="26"/>
  <c r="E27" i="26"/>
  <c r="F27" i="26"/>
  <c r="G27" i="26"/>
  <c r="B28" i="26"/>
  <c r="I29" i="26"/>
  <c r="C28" i="26"/>
  <c r="D28" i="26"/>
  <c r="E28" i="26"/>
  <c r="F28" i="26"/>
  <c r="G28" i="26"/>
  <c r="B29" i="26"/>
  <c r="I30" i="26"/>
  <c r="C29" i="26"/>
  <c r="D29" i="26"/>
  <c r="E29" i="26"/>
  <c r="F29" i="26"/>
  <c r="G29" i="26"/>
  <c r="B30" i="26"/>
  <c r="I31" i="26"/>
  <c r="C30" i="26"/>
  <c r="D30" i="26"/>
  <c r="E30" i="26"/>
  <c r="F30" i="26"/>
  <c r="G30" i="26"/>
  <c r="B31" i="26"/>
  <c r="I32" i="26"/>
  <c r="C31" i="26"/>
  <c r="D31" i="26"/>
  <c r="E31" i="26"/>
  <c r="F31" i="26"/>
  <c r="B32" i="26"/>
  <c r="I33" i="26"/>
  <c r="C32" i="26"/>
  <c r="D32" i="26"/>
  <c r="E32" i="26"/>
  <c r="F32" i="26"/>
  <c r="B33" i="26"/>
  <c r="I34" i="26"/>
  <c r="C33" i="26"/>
  <c r="D33" i="26"/>
  <c r="E33" i="26"/>
  <c r="F33" i="26"/>
  <c r="B34" i="26"/>
  <c r="I35" i="26"/>
  <c r="C34" i="26"/>
  <c r="D34" i="26"/>
  <c r="E34" i="26"/>
  <c r="F34" i="26"/>
  <c r="G34" i="26"/>
  <c r="B35" i="26"/>
  <c r="I36" i="26"/>
  <c r="C35" i="26"/>
  <c r="D35" i="26"/>
  <c r="E35" i="26"/>
  <c r="F35" i="26"/>
  <c r="G35" i="26"/>
  <c r="B36" i="26"/>
  <c r="I37" i="26"/>
  <c r="C36" i="26"/>
  <c r="D36" i="26"/>
  <c r="E36" i="26"/>
  <c r="F36" i="26"/>
  <c r="G36" i="26"/>
  <c r="B37" i="26"/>
  <c r="I38" i="26"/>
  <c r="C37" i="26"/>
  <c r="D37" i="26"/>
  <c r="E37" i="26"/>
  <c r="F37" i="26"/>
  <c r="G37" i="26"/>
  <c r="B38" i="26"/>
  <c r="I9" i="27"/>
  <c r="C38" i="26"/>
  <c r="D38" i="26"/>
  <c r="E38" i="26"/>
  <c r="F38" i="26"/>
  <c r="G39" i="26"/>
  <c r="B39" i="26"/>
  <c r="AZ42" i="26"/>
  <c r="I10" i="27"/>
  <c r="BG3" i="27"/>
  <c r="I11" i="27"/>
  <c r="C9" i="27"/>
  <c r="D9" i="27"/>
  <c r="E9" i="27"/>
  <c r="F9" i="27"/>
  <c r="BA42" i="26"/>
  <c r="BB42" i="26"/>
  <c r="BC42" i="26"/>
  <c r="BD42" i="26"/>
  <c r="BE42" i="26"/>
  <c r="AV42" i="26"/>
  <c r="J43" i="16"/>
  <c r="C10" i="27"/>
  <c r="D10" i="27"/>
  <c r="E10" i="27"/>
  <c r="F10" i="27"/>
  <c r="G10" i="27"/>
  <c r="I12" i="27"/>
  <c r="C11" i="27"/>
  <c r="D11" i="27"/>
  <c r="E11" i="27"/>
  <c r="F11" i="27"/>
  <c r="G11" i="27"/>
  <c r="I13" i="27"/>
  <c r="I14" i="27"/>
  <c r="C12" i="27"/>
  <c r="D12" i="27"/>
  <c r="E12" i="27"/>
  <c r="F12" i="27"/>
  <c r="G12" i="27"/>
  <c r="C13" i="27"/>
  <c r="D13" i="27"/>
  <c r="E13" i="27"/>
  <c r="F13" i="27"/>
  <c r="G13" i="27"/>
  <c r="I15" i="27"/>
  <c r="I16" i="27"/>
  <c r="C14" i="27"/>
  <c r="D14" i="27"/>
  <c r="E14" i="27"/>
  <c r="F14" i="27"/>
  <c r="G14" i="27"/>
  <c r="I17" i="27"/>
  <c r="C15" i="27"/>
  <c r="D15" i="27"/>
  <c r="E15" i="27"/>
  <c r="F15" i="27"/>
  <c r="C16" i="27"/>
  <c r="D16" i="27"/>
  <c r="E16" i="27"/>
  <c r="F16" i="27"/>
  <c r="I18" i="27"/>
  <c r="C17" i="27"/>
  <c r="D17" i="27"/>
  <c r="E17" i="27"/>
  <c r="F17" i="27"/>
  <c r="G17" i="27"/>
  <c r="I19" i="27"/>
  <c r="C18" i="27"/>
  <c r="D18" i="27"/>
  <c r="E18" i="27"/>
  <c r="F18" i="27"/>
  <c r="G18" i="27"/>
  <c r="I20" i="27"/>
  <c r="C19" i="27"/>
  <c r="D19" i="27"/>
  <c r="E19" i="27"/>
  <c r="F19" i="27"/>
  <c r="G19" i="27"/>
  <c r="I21" i="27"/>
  <c r="C20" i="27"/>
  <c r="D20" i="27"/>
  <c r="E20" i="27"/>
  <c r="F20" i="27"/>
  <c r="G20" i="27"/>
  <c r="I22" i="27"/>
  <c r="C21" i="27"/>
  <c r="D21" i="27"/>
  <c r="E21" i="27"/>
  <c r="F21" i="27"/>
  <c r="G21" i="27"/>
  <c r="I23" i="27"/>
  <c r="C22" i="27"/>
  <c r="D22" i="27"/>
  <c r="E22" i="27"/>
  <c r="F22" i="27"/>
  <c r="I24" i="27"/>
  <c r="C23" i="27"/>
  <c r="D23" i="27"/>
  <c r="E23" i="27"/>
  <c r="F23" i="27"/>
  <c r="I25" i="27"/>
  <c r="C24" i="27"/>
  <c r="D24" i="27"/>
  <c r="E24" i="27"/>
  <c r="F24" i="27"/>
  <c r="I26" i="27"/>
  <c r="C25" i="27"/>
  <c r="D25" i="27"/>
  <c r="E25" i="27"/>
  <c r="F25" i="27"/>
  <c r="G25" i="27"/>
  <c r="I27" i="27"/>
  <c r="C26" i="27"/>
  <c r="D26" i="27"/>
  <c r="E26" i="27"/>
  <c r="F26" i="27"/>
  <c r="G26" i="27"/>
  <c r="I28" i="27"/>
  <c r="I29" i="27"/>
  <c r="C27" i="27"/>
  <c r="D27" i="27"/>
  <c r="E27" i="27"/>
  <c r="F27" i="27"/>
  <c r="G27" i="27"/>
  <c r="C28" i="27"/>
  <c r="D28" i="27"/>
  <c r="E28" i="27"/>
  <c r="F28" i="27"/>
  <c r="G28" i="27"/>
  <c r="I30" i="27"/>
  <c r="I31" i="27"/>
  <c r="C29" i="27"/>
  <c r="D29" i="27"/>
  <c r="E29" i="27"/>
  <c r="F29" i="27"/>
  <c r="C30" i="27"/>
  <c r="D30" i="27"/>
  <c r="E30" i="27"/>
  <c r="F30" i="27"/>
  <c r="I32" i="27"/>
  <c r="I33" i="27"/>
  <c r="I34" i="27"/>
  <c r="I35" i="27"/>
  <c r="I36" i="27"/>
  <c r="C31" i="27"/>
  <c r="D31" i="27"/>
  <c r="E31" i="27"/>
  <c r="F31" i="27"/>
  <c r="C35" i="27"/>
  <c r="D35" i="27"/>
  <c r="E35" i="27"/>
  <c r="F35" i="27"/>
  <c r="G35" i="27"/>
  <c r="I37" i="27"/>
  <c r="C36" i="27"/>
  <c r="D36" i="27"/>
  <c r="E36" i="27"/>
  <c r="F36" i="27"/>
  <c r="G40" i="27"/>
  <c r="I38" i="27"/>
  <c r="C37" i="27"/>
  <c r="D37" i="27"/>
  <c r="E37" i="27"/>
  <c r="F37" i="27"/>
  <c r="B38" i="27"/>
  <c r="I39" i="27"/>
  <c r="C38" i="27"/>
  <c r="D38" i="27"/>
  <c r="E38" i="27"/>
  <c r="F38" i="27"/>
  <c r="B40" i="27"/>
  <c r="BI43" i="27"/>
  <c r="BJ43" i="27"/>
  <c r="BK43" i="27"/>
  <c r="BL43" i="27"/>
  <c r="BM43" i="27"/>
  <c r="BN43" i="27"/>
  <c r="AW43" i="27"/>
  <c r="J44" i="16"/>
  <c r="H50" i="16"/>
  <c r="J45" i="16"/>
  <c r="AJ19" i="16"/>
  <c r="AE19" i="16" s="1"/>
  <c r="J40" i="18" l="1"/>
  <c r="AZ42" i="18" s="1"/>
  <c r="BA42" i="18" s="1"/>
  <c r="BB42" i="18" s="1"/>
  <c r="BC42" i="18" s="1"/>
  <c r="BD42" i="18" s="1"/>
  <c r="BE42" i="18" s="1"/>
  <c r="AV42" i="18" s="1"/>
  <c r="I35" i="16" s="1"/>
  <c r="N21" i="18"/>
  <c r="O21" i="18" s="1"/>
  <c r="P21" i="18" s="1"/>
  <c r="BM21" i="18" s="1"/>
  <c r="BN21" i="18" s="1"/>
  <c r="M38" i="1"/>
  <c r="N38" i="1" s="1"/>
  <c r="O38" i="1" s="1"/>
  <c r="P38" i="1" s="1"/>
  <c r="M36" i="1"/>
  <c r="N36" i="1" s="1"/>
  <c r="O36" i="1" s="1"/>
  <c r="P36" i="1" s="1"/>
  <c r="BM36" i="1" s="1"/>
  <c r="BN36" i="1" s="1"/>
  <c r="N39" i="5"/>
  <c r="O39" i="5" s="1"/>
  <c r="P39" i="5" s="1"/>
  <c r="BN39" i="5" s="1"/>
  <c r="BO39" i="5" s="1"/>
  <c r="N39" i="21"/>
  <c r="O39" i="21" s="1"/>
  <c r="P39" i="21" s="1"/>
  <c r="J39" i="21"/>
  <c r="AZ41" i="21" s="1"/>
  <c r="BA40" i="1"/>
  <c r="BB40" i="1" s="1"/>
  <c r="BC40" i="1" s="1"/>
  <c r="BD40" i="1" s="1"/>
  <c r="BE40" i="1" s="1"/>
  <c r="AV40" i="1" s="1"/>
  <c r="I34" i="16" s="1"/>
  <c r="L40" i="5"/>
  <c r="J40" i="5" s="1"/>
  <c r="BA42" i="5" s="1"/>
  <c r="BB42" i="5" s="1"/>
  <c r="BC42" i="5" s="1"/>
  <c r="BD42" i="5" s="1"/>
  <c r="BE42" i="5" s="1"/>
  <c r="BF42" i="5" s="1"/>
  <c r="AW42" i="5" s="1"/>
  <c r="I33" i="16" s="1"/>
  <c r="N10" i="5"/>
  <c r="O10" i="5" s="1"/>
  <c r="P10" i="5" s="1"/>
  <c r="BN10" i="5" s="1"/>
  <c r="BO10" i="5" s="1"/>
  <c r="AF19" i="16"/>
  <c r="AG19" i="16" s="1"/>
  <c r="AD18" i="16" s="1"/>
  <c r="BA41" i="5" s="1"/>
  <c r="BA41" i="21" l="1"/>
  <c r="BB41" i="21" s="1"/>
  <c r="BC41" i="21" s="1"/>
  <c r="BD41" i="21" s="1"/>
  <c r="BE41" i="21" s="1"/>
  <c r="AV41" i="21" s="1"/>
  <c r="I38" i="16" s="1"/>
  <c r="I45" i="16" s="1"/>
  <c r="M40" i="5"/>
  <c r="N40" i="5" s="1"/>
  <c r="O40" i="5" s="1"/>
  <c r="P40" i="5" s="1"/>
  <c r="BH10" i="5"/>
  <c r="BH27" i="5"/>
  <c r="BH39" i="5"/>
  <c r="BH29" i="5"/>
  <c r="BH38" i="5"/>
  <c r="BH14" i="5"/>
  <c r="BH25" i="5"/>
  <c r="BH35" i="5"/>
  <c r="BH20" i="5"/>
  <c r="BH19" i="5"/>
  <c r="BH32" i="5"/>
  <c r="BH31" i="5"/>
  <c r="BH23" i="5"/>
  <c r="BH24" i="5"/>
  <c r="BH16" i="5"/>
  <c r="BH11" i="5"/>
  <c r="BA44" i="5"/>
  <c r="BB41" i="5"/>
  <c r="BC41" i="5" s="1"/>
  <c r="BD41" i="5" s="1"/>
  <c r="BE41" i="5" s="1"/>
  <c r="BF41" i="5" s="1"/>
  <c r="AW41" i="5" s="1"/>
  <c r="H33" i="16" s="1"/>
  <c r="BH28" i="5"/>
  <c r="BH33" i="5"/>
  <c r="BH36" i="5"/>
  <c r="BH34" i="5"/>
  <c r="BH21" i="5"/>
  <c r="BH17" i="5"/>
  <c r="BH22" i="5"/>
  <c r="BH13" i="5"/>
  <c r="BH9" i="5"/>
  <c r="BH30" i="5"/>
  <c r="BH18" i="5"/>
  <c r="BH37" i="5"/>
  <c r="BH26" i="5"/>
  <c r="BH12" i="5"/>
  <c r="BH15" i="5"/>
  <c r="BI37" i="5" l="1"/>
  <c r="BJ37" i="5" s="1"/>
  <c r="BI21" i="5"/>
  <c r="BJ21" i="5" s="1"/>
  <c r="BK21" i="5" s="1"/>
  <c r="BL21" i="5" s="1"/>
  <c r="BI16" i="5"/>
  <c r="BJ16" i="5" s="1"/>
  <c r="BI15" i="5"/>
  <c r="BJ15" i="5" s="1"/>
  <c r="BI18" i="5"/>
  <c r="BJ18" i="5" s="1"/>
  <c r="BI22" i="5"/>
  <c r="BJ22" i="5" s="1"/>
  <c r="BI19" i="5"/>
  <c r="BJ19" i="5" s="1"/>
  <c r="BI39" i="5"/>
  <c r="BJ39" i="5" s="1"/>
  <c r="BI30" i="5"/>
  <c r="BJ30" i="5" s="1"/>
  <c r="BI36" i="5"/>
  <c r="BJ36" i="5" s="1"/>
  <c r="AZ39" i="1"/>
  <c r="BB44" i="5"/>
  <c r="BC44" i="5" s="1"/>
  <c r="BD44" i="5" s="1"/>
  <c r="BE44" i="5" s="1"/>
  <c r="BF44" i="5" s="1"/>
  <c r="AW44" i="5" s="1"/>
  <c r="BI23" i="5"/>
  <c r="BJ23" i="5" s="1"/>
  <c r="BI20" i="5"/>
  <c r="BJ20" i="5" s="1"/>
  <c r="BK20" i="5" s="1"/>
  <c r="BL20" i="5" s="1"/>
  <c r="BI14" i="5"/>
  <c r="BJ14" i="5" s="1"/>
  <c r="BK14" i="5" s="1"/>
  <c r="BL14" i="5" s="1"/>
  <c r="BI27" i="5"/>
  <c r="BJ27" i="5" s="1"/>
  <c r="BK27" i="5" s="1"/>
  <c r="BL27" i="5" s="1"/>
  <c r="BI13" i="5"/>
  <c r="BJ13" i="5" s="1"/>
  <c r="BK13" i="5" s="1"/>
  <c r="BL13" i="5" s="1"/>
  <c r="BI28" i="5"/>
  <c r="BJ28" i="5" s="1"/>
  <c r="BK28" i="5" s="1"/>
  <c r="BL28" i="5" s="1"/>
  <c r="BI32" i="5"/>
  <c r="BJ32" i="5" s="1"/>
  <c r="BI29" i="5"/>
  <c r="BJ29" i="5" s="1"/>
  <c r="BK29" i="5" s="1"/>
  <c r="BL29" i="5" s="1"/>
  <c r="BI34" i="5"/>
  <c r="BJ34" i="5" s="1"/>
  <c r="BK34" i="5" s="1"/>
  <c r="BL34" i="5" s="1"/>
  <c r="BI24" i="5"/>
  <c r="BJ24" i="5" s="1"/>
  <c r="BI25" i="5"/>
  <c r="BJ25" i="5" s="1"/>
  <c r="BK25" i="5" s="1"/>
  <c r="BL25" i="5" s="1"/>
  <c r="BI12" i="5"/>
  <c r="BJ12" i="5" s="1"/>
  <c r="BI26" i="5"/>
  <c r="BJ26" i="5" s="1"/>
  <c r="BI9" i="5"/>
  <c r="BJ9" i="5" s="1"/>
  <c r="BK9" i="5" s="1"/>
  <c r="BL9" i="5" s="1"/>
  <c r="BI17" i="5"/>
  <c r="BJ17" i="5" s="1"/>
  <c r="BK17" i="5" s="1"/>
  <c r="BL17" i="5" s="1"/>
  <c r="BI33" i="5"/>
  <c r="BJ33" i="5" s="1"/>
  <c r="BI11" i="5"/>
  <c r="BJ11" i="5" s="1"/>
  <c r="BI31" i="5"/>
  <c r="BJ31" i="5" s="1"/>
  <c r="BI35" i="5"/>
  <c r="BJ35" i="5" s="1"/>
  <c r="BK35" i="5" s="1"/>
  <c r="BL35" i="5" s="1"/>
  <c r="BI38" i="5"/>
  <c r="BJ38" i="5" s="1"/>
  <c r="BK38" i="5" s="1"/>
  <c r="BL38" i="5" s="1"/>
  <c r="BI10" i="5"/>
  <c r="BJ10" i="5" s="1"/>
  <c r="BK10" i="5" l="1"/>
  <c r="BL10" i="5" s="1"/>
  <c r="BM10" i="5" s="1"/>
  <c r="BK33" i="5"/>
  <c r="BL33" i="5" s="1"/>
  <c r="BM33" i="5" s="1"/>
  <c r="BK12" i="5"/>
  <c r="BL12" i="5" s="1"/>
  <c r="BM12" i="5" s="1"/>
  <c r="BK18" i="5"/>
  <c r="BL18" i="5" s="1"/>
  <c r="BM18" i="5" s="1"/>
  <c r="BK32" i="5"/>
  <c r="BL32" i="5" s="1"/>
  <c r="BM32" i="5" s="1"/>
  <c r="BK31" i="5"/>
  <c r="BL31" i="5" s="1"/>
  <c r="BM31" i="5" s="1"/>
  <c r="BK23" i="5"/>
  <c r="BL23" i="5" s="1"/>
  <c r="BM23" i="5" s="1"/>
  <c r="BK39" i="5"/>
  <c r="BL39" i="5" s="1"/>
  <c r="BM39" i="5" s="1"/>
  <c r="BK24" i="5"/>
  <c r="BL24" i="5" s="1"/>
  <c r="BM24" i="5" s="1"/>
  <c r="BK36" i="5"/>
  <c r="BL36" i="5" s="1"/>
  <c r="BM36" i="5" s="1"/>
  <c r="BK19" i="5"/>
  <c r="BL19" i="5" s="1"/>
  <c r="BM19" i="5" s="1"/>
  <c r="BK15" i="5"/>
  <c r="BL15" i="5" s="1"/>
  <c r="BM15" i="5" s="1"/>
  <c r="BK37" i="5"/>
  <c r="BL37" i="5" s="1"/>
  <c r="BM37" i="5" s="1"/>
  <c r="BA39" i="1"/>
  <c r="BB39" i="1" s="1"/>
  <c r="BC39" i="1" s="1"/>
  <c r="BD39" i="1" s="1"/>
  <c r="BE39" i="1" s="1"/>
  <c r="BG15" i="1"/>
  <c r="BG19" i="1"/>
  <c r="BG28" i="1"/>
  <c r="BG12" i="1"/>
  <c r="BG18" i="1"/>
  <c r="BG30" i="1"/>
  <c r="BG20" i="1"/>
  <c r="BG33" i="1"/>
  <c r="BG36" i="1"/>
  <c r="BG14" i="1"/>
  <c r="BG37" i="1"/>
  <c r="BG31" i="1"/>
  <c r="BG16" i="1"/>
  <c r="BG34" i="1"/>
  <c r="BG27" i="1"/>
  <c r="BG32" i="1"/>
  <c r="BG13" i="1"/>
  <c r="BG23" i="1"/>
  <c r="AZ42" i="1"/>
  <c r="BG35" i="1"/>
  <c r="BG24" i="1"/>
  <c r="BG25" i="1"/>
  <c r="BG21" i="1"/>
  <c r="BG11" i="1"/>
  <c r="BG9" i="1"/>
  <c r="BG22" i="1"/>
  <c r="BG29" i="1"/>
  <c r="BG10" i="1"/>
  <c r="BG17" i="1"/>
  <c r="BG26" i="1"/>
  <c r="BK11" i="5"/>
  <c r="BL11" i="5" s="1"/>
  <c r="BM11" i="5" s="1"/>
  <c r="BM9" i="5"/>
  <c r="BK16" i="5"/>
  <c r="BL16" i="5" s="1"/>
  <c r="BM16" i="5" s="1"/>
  <c r="BK30" i="5"/>
  <c r="BL30" i="5" s="1"/>
  <c r="BM30" i="5" s="1"/>
  <c r="BM17" i="5"/>
  <c r="BM25" i="5"/>
  <c r="AV39" i="1"/>
  <c r="H34" i="16" s="1"/>
  <c r="K33" i="16"/>
  <c r="BM38" i="5"/>
  <c r="BK26" i="5"/>
  <c r="BL26" i="5" s="1"/>
  <c r="BM26" i="5" s="1"/>
  <c r="BM29" i="5"/>
  <c r="BK22" i="5"/>
  <c r="BL22" i="5" s="1"/>
  <c r="BM22" i="5" s="1"/>
  <c r="BH26" i="1" l="1"/>
  <c r="BI26" i="1" s="1"/>
  <c r="BJ26" i="1" s="1"/>
  <c r="BK26" i="1" s="1"/>
  <c r="BL26" i="1" s="1"/>
  <c r="BH22" i="1"/>
  <c r="BI22" i="1" s="1"/>
  <c r="BJ22" i="1" s="1"/>
  <c r="BK22" i="1" s="1"/>
  <c r="BL22" i="1" s="1"/>
  <c r="BH23" i="1"/>
  <c r="BI23" i="1" s="1"/>
  <c r="BJ23" i="1" s="1"/>
  <c r="BK23" i="1" s="1"/>
  <c r="BL23" i="1" s="1"/>
  <c r="BH33" i="1"/>
  <c r="BI33" i="1" s="1"/>
  <c r="BJ33" i="1" s="1"/>
  <c r="BK33" i="1" s="1"/>
  <c r="BL33" i="1" s="1"/>
  <c r="BH17" i="1"/>
  <c r="BI17" i="1" s="1"/>
  <c r="BJ17" i="1" s="1"/>
  <c r="BK17" i="1" s="1"/>
  <c r="BH9" i="1"/>
  <c r="BI9" i="1" s="1"/>
  <c r="BJ9" i="1" s="1"/>
  <c r="BK9" i="1" s="1"/>
  <c r="BL9" i="1" s="1"/>
  <c r="BH13" i="1"/>
  <c r="BI13" i="1" s="1"/>
  <c r="BJ13" i="1" s="1"/>
  <c r="BK13" i="1" s="1"/>
  <c r="BL13" i="1" s="1"/>
  <c r="BH34" i="1"/>
  <c r="BI34" i="1" s="1"/>
  <c r="BJ34" i="1" s="1"/>
  <c r="BK34" i="1" s="1"/>
  <c r="BL34" i="1" s="1"/>
  <c r="BH20" i="1"/>
  <c r="BI20" i="1" s="1"/>
  <c r="BJ20" i="1" s="1"/>
  <c r="BK20" i="1" s="1"/>
  <c r="BL20" i="1" s="1"/>
  <c r="BH11" i="1"/>
  <c r="BI11" i="1" s="1"/>
  <c r="BJ11" i="1" s="1"/>
  <c r="BK11" i="1" s="1"/>
  <c r="BH32" i="1"/>
  <c r="BI32" i="1" s="1"/>
  <c r="BJ32" i="1" s="1"/>
  <c r="BK32" i="1" s="1"/>
  <c r="BH16" i="1"/>
  <c r="BI16" i="1" s="1"/>
  <c r="BJ16" i="1" s="1"/>
  <c r="BK16" i="1" s="1"/>
  <c r="BL16" i="1" s="1"/>
  <c r="BH14" i="1"/>
  <c r="BI14" i="1" s="1"/>
  <c r="BJ14" i="1" s="1"/>
  <c r="BK14" i="1" s="1"/>
  <c r="BL14" i="1" s="1"/>
  <c r="BH30" i="1"/>
  <c r="BI30" i="1" s="1"/>
  <c r="BJ30" i="1" s="1"/>
  <c r="BK30" i="1" s="1"/>
  <c r="BL30" i="1" s="1"/>
  <c r="BH19" i="1"/>
  <c r="BI19" i="1" s="1"/>
  <c r="BJ19" i="1" s="1"/>
  <c r="BK19" i="1" s="1"/>
  <c r="BL19" i="1" s="1"/>
  <c r="BH25" i="1"/>
  <c r="BI25" i="1" s="1"/>
  <c r="BJ25" i="1" s="1"/>
  <c r="BK25" i="1" s="1"/>
  <c r="BH12" i="1"/>
  <c r="BI12" i="1" s="1"/>
  <c r="BJ12" i="1" s="1"/>
  <c r="BK12" i="1" s="1"/>
  <c r="BL12" i="1" s="1"/>
  <c r="BH24" i="1"/>
  <c r="BI24" i="1" s="1"/>
  <c r="BJ24" i="1" s="1"/>
  <c r="BK24" i="1" s="1"/>
  <c r="BH37" i="1"/>
  <c r="BI37" i="1" s="1"/>
  <c r="BJ37" i="1" s="1"/>
  <c r="BK37" i="1" s="1"/>
  <c r="BH28" i="1"/>
  <c r="BI28" i="1" s="1"/>
  <c r="BJ28" i="1" s="1"/>
  <c r="BK28" i="1" s="1"/>
  <c r="BL28" i="1" s="1"/>
  <c r="BH10" i="1"/>
  <c r="BI10" i="1" s="1"/>
  <c r="BJ10" i="1" s="1"/>
  <c r="BK10" i="1" s="1"/>
  <c r="BH35" i="1"/>
  <c r="BI35" i="1" s="1"/>
  <c r="BJ35" i="1" s="1"/>
  <c r="BK35" i="1" s="1"/>
  <c r="BL35" i="1" s="1"/>
  <c r="BH29" i="1"/>
  <c r="BI29" i="1" s="1"/>
  <c r="BJ29" i="1" s="1"/>
  <c r="BK29" i="1" s="1"/>
  <c r="BL29" i="1" s="1"/>
  <c r="BH21" i="1"/>
  <c r="BI21" i="1" s="1"/>
  <c r="BJ21" i="1" s="1"/>
  <c r="BK21" i="1" s="1"/>
  <c r="BL21" i="1" s="1"/>
  <c r="BA42" i="1"/>
  <c r="BB42" i="1" s="1"/>
  <c r="BC42" i="1" s="1"/>
  <c r="BD42" i="1" s="1"/>
  <c r="BE42" i="1" s="1"/>
  <c r="AV42" i="1" s="1"/>
  <c r="AZ41" i="18"/>
  <c r="BH27" i="1"/>
  <c r="BI27" i="1" s="1"/>
  <c r="BJ27" i="1" s="1"/>
  <c r="BK27" i="1" s="1"/>
  <c r="BL27" i="1" s="1"/>
  <c r="BH31" i="1"/>
  <c r="BI31" i="1" s="1"/>
  <c r="BJ31" i="1" s="1"/>
  <c r="BK31" i="1" s="1"/>
  <c r="BH36" i="1"/>
  <c r="BI36" i="1" s="1"/>
  <c r="BJ36" i="1" s="1"/>
  <c r="BK36" i="1" s="1"/>
  <c r="BL36" i="1" s="1"/>
  <c r="BH18" i="1"/>
  <c r="BI18" i="1" s="1"/>
  <c r="BJ18" i="1" s="1"/>
  <c r="BK18" i="1" s="1"/>
  <c r="BH15" i="1"/>
  <c r="BI15" i="1" s="1"/>
  <c r="BJ15" i="1" s="1"/>
  <c r="BK15" i="1" s="1"/>
  <c r="BL15" i="1" s="1"/>
  <c r="K34" i="16" l="1"/>
  <c r="AV41" i="18"/>
  <c r="BG30" i="18"/>
  <c r="BG19" i="18"/>
  <c r="BG36" i="18"/>
  <c r="BG12" i="18"/>
  <c r="BG14" i="18"/>
  <c r="BG18" i="18"/>
  <c r="BG34" i="18"/>
  <c r="BA41" i="18"/>
  <c r="BB41" i="18" s="1"/>
  <c r="BC41" i="18" s="1"/>
  <c r="BD41" i="18" s="1"/>
  <c r="BE41" i="18" s="1"/>
  <c r="BG15" i="18"/>
  <c r="BG26" i="18"/>
  <c r="BG21" i="18"/>
  <c r="BG38" i="18"/>
  <c r="BG23" i="18"/>
  <c r="BG22" i="18"/>
  <c r="BG27" i="18"/>
  <c r="BG17" i="18"/>
  <c r="BG32" i="18"/>
  <c r="BG39" i="18"/>
  <c r="BG35" i="18"/>
  <c r="BG16" i="18"/>
  <c r="BG37" i="18"/>
  <c r="BG20" i="18"/>
  <c r="BG13" i="18"/>
  <c r="BG31" i="18"/>
  <c r="BG9" i="18"/>
  <c r="BG29" i="18"/>
  <c r="BG24" i="18"/>
  <c r="BG25" i="18"/>
  <c r="AZ44" i="18"/>
  <c r="BG11" i="18"/>
  <c r="BG33" i="18"/>
  <c r="BG10" i="18"/>
  <c r="BG28" i="18"/>
  <c r="BH31" i="18" l="1"/>
  <c r="BI31" i="18" s="1"/>
  <c r="BJ31" i="18" s="1"/>
  <c r="BK31" i="18" s="1"/>
  <c r="BH16" i="18"/>
  <c r="BI16" i="18" s="1"/>
  <c r="BJ16" i="18" s="1"/>
  <c r="BK16" i="18" s="1"/>
  <c r="BL16" i="18" s="1"/>
  <c r="BH23" i="18"/>
  <c r="BI23" i="18" s="1"/>
  <c r="BJ23" i="18" s="1"/>
  <c r="BK23" i="18" s="1"/>
  <c r="BL23" i="18" s="1"/>
  <c r="BH15" i="18"/>
  <c r="BI15" i="18" s="1"/>
  <c r="BJ15" i="18" s="1"/>
  <c r="BK15" i="18" s="1"/>
  <c r="BL15" i="18" s="1"/>
  <c r="BH30" i="18"/>
  <c r="BI30" i="18" s="1"/>
  <c r="BJ30" i="18" s="1"/>
  <c r="BK30" i="18" s="1"/>
  <c r="BL30" i="18" s="1"/>
  <c r="BH33" i="18"/>
  <c r="BI33" i="18" s="1"/>
  <c r="BJ33" i="18" s="1"/>
  <c r="BK33" i="18" s="1"/>
  <c r="BL33" i="18" s="1"/>
  <c r="BH13" i="18"/>
  <c r="BI13" i="18" s="1"/>
  <c r="BJ13" i="18" s="1"/>
  <c r="BK13" i="18" s="1"/>
  <c r="BL13" i="18" s="1"/>
  <c r="BH38" i="18"/>
  <c r="BI38" i="18" s="1"/>
  <c r="BJ38" i="18" s="1"/>
  <c r="BK38" i="18" s="1"/>
  <c r="BH12" i="18"/>
  <c r="BI12" i="18" s="1"/>
  <c r="BJ12" i="18" s="1"/>
  <c r="BK12" i="18" s="1"/>
  <c r="BL12" i="18" s="1"/>
  <c r="AV44" i="18"/>
  <c r="H35" i="16"/>
  <c r="BH28" i="18"/>
  <c r="BI28" i="18" s="1"/>
  <c r="BJ28" i="18" s="1"/>
  <c r="BK28" i="18" s="1"/>
  <c r="BL28" i="18" s="1"/>
  <c r="BH11" i="18"/>
  <c r="BI11" i="18" s="1"/>
  <c r="BJ11" i="18" s="1"/>
  <c r="BK11" i="18" s="1"/>
  <c r="BH29" i="18"/>
  <c r="BI29" i="18" s="1"/>
  <c r="BJ29" i="18" s="1"/>
  <c r="BK29" i="18" s="1"/>
  <c r="BL29" i="18" s="1"/>
  <c r="BH20" i="18"/>
  <c r="BI20" i="18" s="1"/>
  <c r="BJ20" i="18" s="1"/>
  <c r="BK20" i="18" s="1"/>
  <c r="BL20" i="18" s="1"/>
  <c r="BH10" i="18"/>
  <c r="BI10" i="18" s="1"/>
  <c r="BJ10" i="18" s="1"/>
  <c r="BK10" i="18" s="1"/>
  <c r="BA44" i="18"/>
  <c r="BB44" i="18" s="1"/>
  <c r="BC44" i="18" s="1"/>
  <c r="BD44" i="18" s="1"/>
  <c r="BE44" i="18" s="1"/>
  <c r="AZ40" i="19"/>
  <c r="BH9" i="18"/>
  <c r="BI9" i="18" s="1"/>
  <c r="BJ9" i="18" s="1"/>
  <c r="BK9" i="18" s="1"/>
  <c r="BL9" i="18" s="1"/>
  <c r="BH37" i="18"/>
  <c r="BI37" i="18" s="1"/>
  <c r="BJ37" i="18" s="1"/>
  <c r="BK37" i="18" s="1"/>
  <c r="BL37" i="18" s="1"/>
  <c r="BH32" i="18"/>
  <c r="BI32" i="18" s="1"/>
  <c r="BJ32" i="18" s="1"/>
  <c r="BK32" i="18" s="1"/>
  <c r="BH22" i="18"/>
  <c r="BI22" i="18" s="1"/>
  <c r="BJ22" i="18" s="1"/>
  <c r="BK22" i="18" s="1"/>
  <c r="BL22" i="18" s="1"/>
  <c r="BH26" i="18"/>
  <c r="BI26" i="18" s="1"/>
  <c r="BJ26" i="18" s="1"/>
  <c r="BK26" i="18" s="1"/>
  <c r="BL26" i="18" s="1"/>
  <c r="BH18" i="18"/>
  <c r="BI18" i="18" s="1"/>
  <c r="BJ18" i="18" s="1"/>
  <c r="BK18" i="18" s="1"/>
  <c r="BH19" i="18"/>
  <c r="BI19" i="18" s="1"/>
  <c r="BJ19" i="18" s="1"/>
  <c r="BK19" i="18" s="1"/>
  <c r="BL19" i="18" s="1"/>
  <c r="BH25" i="18"/>
  <c r="BI25" i="18" s="1"/>
  <c r="BJ25" i="18" s="1"/>
  <c r="BK25" i="18" s="1"/>
  <c r="BH17" i="18"/>
  <c r="BI17" i="18" s="1"/>
  <c r="BJ17" i="18" s="1"/>
  <c r="BK17" i="18" s="1"/>
  <c r="BH14" i="18"/>
  <c r="BI14" i="18" s="1"/>
  <c r="BJ14" i="18" s="1"/>
  <c r="BK14" i="18" s="1"/>
  <c r="BL14" i="18" s="1"/>
  <c r="BH24" i="18"/>
  <c r="BI24" i="18" s="1"/>
  <c r="BJ24" i="18" s="1"/>
  <c r="BK24" i="18" s="1"/>
  <c r="BH35" i="18"/>
  <c r="BI35" i="18" s="1"/>
  <c r="BJ35" i="18" s="1"/>
  <c r="BK35" i="18" s="1"/>
  <c r="BL35" i="18" s="1"/>
  <c r="BH27" i="18"/>
  <c r="BI27" i="18" s="1"/>
  <c r="BJ27" i="18" s="1"/>
  <c r="BK27" i="18" s="1"/>
  <c r="BL27" i="18" s="1"/>
  <c r="BH39" i="18"/>
  <c r="BI39" i="18" s="1"/>
  <c r="BJ39" i="18" s="1"/>
  <c r="BK39" i="18" s="1"/>
  <c r="BH21" i="18"/>
  <c r="BI21" i="18" s="1"/>
  <c r="BJ21" i="18" s="1"/>
  <c r="BK21" i="18" s="1"/>
  <c r="BL21" i="18" s="1"/>
  <c r="BH34" i="18"/>
  <c r="BI34" i="18" s="1"/>
  <c r="BJ34" i="18" s="1"/>
  <c r="BK34" i="18" s="1"/>
  <c r="BL34" i="18" s="1"/>
  <c r="BH36" i="18"/>
  <c r="BI36" i="18" s="1"/>
  <c r="BJ36" i="18" s="1"/>
  <c r="BK36" i="18" s="1"/>
  <c r="BL36" i="18" s="1"/>
  <c r="BG20" i="19" l="1"/>
  <c r="BG22" i="19"/>
  <c r="BG29" i="19"/>
  <c r="BG34" i="19"/>
  <c r="BG19" i="19"/>
  <c r="BA40" i="19"/>
  <c r="BB40" i="19" s="1"/>
  <c r="BC40" i="19" s="1"/>
  <c r="BD40" i="19" s="1"/>
  <c r="BE40" i="19" s="1"/>
  <c r="BG11" i="19"/>
  <c r="BG36" i="19"/>
  <c r="BG26" i="19"/>
  <c r="BG35" i="19"/>
  <c r="BG17" i="19"/>
  <c r="BG16" i="19"/>
  <c r="BG14" i="19"/>
  <c r="BG28" i="19"/>
  <c r="BG12" i="19"/>
  <c r="BG13" i="19"/>
  <c r="BG24" i="19"/>
  <c r="BG23" i="19"/>
  <c r="BG18" i="19"/>
  <c r="BG38" i="19"/>
  <c r="BG37" i="19"/>
  <c r="AZ43" i="19"/>
  <c r="BG15" i="19"/>
  <c r="BG27" i="19"/>
  <c r="BG33" i="19"/>
  <c r="BG9" i="19"/>
  <c r="BG31" i="19"/>
  <c r="BG21" i="19"/>
  <c r="BG25" i="19"/>
  <c r="BG32" i="19"/>
  <c r="BG30" i="19"/>
  <c r="BG10" i="19"/>
  <c r="AV40" i="19"/>
  <c r="K35" i="16"/>
  <c r="BH31" i="19" l="1"/>
  <c r="BI31" i="19" s="1"/>
  <c r="BJ31" i="19" s="1"/>
  <c r="BK31" i="19" s="1"/>
  <c r="BL31" i="19" s="1"/>
  <c r="BH18" i="19"/>
  <c r="BI18" i="19" s="1"/>
  <c r="BJ18" i="19" s="1"/>
  <c r="BK18" i="19" s="1"/>
  <c r="BL18" i="19" s="1"/>
  <c r="BH17" i="19"/>
  <c r="BI17" i="19" s="1"/>
  <c r="BJ17" i="19" s="1"/>
  <c r="BK17" i="19" s="1"/>
  <c r="BL17" i="19" s="1"/>
  <c r="BH32" i="19"/>
  <c r="BI32" i="19" s="1"/>
  <c r="BJ32" i="19" s="1"/>
  <c r="BK32" i="19" s="1"/>
  <c r="BL32" i="19" s="1"/>
  <c r="BA43" i="19"/>
  <c r="BB43" i="19" s="1"/>
  <c r="BC43" i="19" s="1"/>
  <c r="BD43" i="19" s="1"/>
  <c r="BE43" i="19" s="1"/>
  <c r="AZ41" i="20"/>
  <c r="BH28" i="19"/>
  <c r="BI28" i="19" s="1"/>
  <c r="BJ28" i="19" s="1"/>
  <c r="BK28" i="19" s="1"/>
  <c r="BH29" i="19"/>
  <c r="BI29" i="19" s="1"/>
  <c r="BJ29" i="19" s="1"/>
  <c r="BK29" i="19" s="1"/>
  <c r="BH10" i="19"/>
  <c r="BI10" i="19" s="1"/>
  <c r="BJ10" i="19" s="1"/>
  <c r="BK10" i="19" s="1"/>
  <c r="BL10" i="19" s="1"/>
  <c r="BH33" i="19"/>
  <c r="BI33" i="19" s="1"/>
  <c r="BJ33" i="19" s="1"/>
  <c r="BK33" i="19" s="1"/>
  <c r="BL33" i="19" s="1"/>
  <c r="BH37" i="19"/>
  <c r="BI37" i="19" s="1"/>
  <c r="BJ37" i="19" s="1"/>
  <c r="BK37" i="19" s="1"/>
  <c r="BL37" i="19" s="1"/>
  <c r="BH24" i="19"/>
  <c r="BI24" i="19" s="1"/>
  <c r="BJ24" i="19" s="1"/>
  <c r="BK24" i="19" s="1"/>
  <c r="BL24" i="19" s="1"/>
  <c r="BH14" i="19"/>
  <c r="BI14" i="19" s="1"/>
  <c r="BJ14" i="19" s="1"/>
  <c r="BK14" i="19" s="1"/>
  <c r="BH26" i="19"/>
  <c r="BI26" i="19" s="1"/>
  <c r="BJ26" i="19" s="1"/>
  <c r="BK26" i="19" s="1"/>
  <c r="BL26" i="19" s="1"/>
  <c r="BH19" i="19"/>
  <c r="BI19" i="19" s="1"/>
  <c r="BJ19" i="19" s="1"/>
  <c r="BK19" i="19" s="1"/>
  <c r="BL19" i="19" s="1"/>
  <c r="BH22" i="19"/>
  <c r="BI22" i="19" s="1"/>
  <c r="BJ22" i="19" s="1"/>
  <c r="BK22" i="19" s="1"/>
  <c r="BH30" i="19"/>
  <c r="BI30" i="19" s="1"/>
  <c r="BJ30" i="19" s="1"/>
  <c r="BK30" i="19" s="1"/>
  <c r="BL30" i="19" s="1"/>
  <c r="BH15" i="19"/>
  <c r="BI15" i="19" s="1"/>
  <c r="BJ15" i="19" s="1"/>
  <c r="BK15" i="19" s="1"/>
  <c r="BH12" i="19"/>
  <c r="BI12" i="19" s="1"/>
  <c r="BJ12" i="19" s="1"/>
  <c r="BK12" i="19" s="1"/>
  <c r="BL12" i="19" s="1"/>
  <c r="BH11" i="19"/>
  <c r="BI11" i="19" s="1"/>
  <c r="BJ11" i="19" s="1"/>
  <c r="BK11" i="19" s="1"/>
  <c r="BL11" i="19" s="1"/>
  <c r="H36" i="16"/>
  <c r="AV43" i="19"/>
  <c r="BG39" i="19"/>
  <c r="BH9" i="19"/>
  <c r="BI9" i="19" s="1"/>
  <c r="BJ9" i="19" s="1"/>
  <c r="BK9" i="19" s="1"/>
  <c r="BH23" i="19"/>
  <c r="BI23" i="19" s="1"/>
  <c r="BJ23" i="19" s="1"/>
  <c r="BK23" i="19" s="1"/>
  <c r="BL23" i="19" s="1"/>
  <c r="BH35" i="19"/>
  <c r="BI35" i="19" s="1"/>
  <c r="BJ35" i="19" s="1"/>
  <c r="BK35" i="19" s="1"/>
  <c r="BH25" i="19"/>
  <c r="BI25" i="19" s="1"/>
  <c r="BJ25" i="19" s="1"/>
  <c r="BK25" i="19" s="1"/>
  <c r="BL25" i="19" s="1"/>
  <c r="BH21" i="19"/>
  <c r="BI21" i="19" s="1"/>
  <c r="BJ21" i="19" s="1"/>
  <c r="BK21" i="19" s="1"/>
  <c r="BH27" i="19"/>
  <c r="BI27" i="19" s="1"/>
  <c r="BJ27" i="19" s="1"/>
  <c r="BK27" i="19" s="1"/>
  <c r="BL27" i="19" s="1"/>
  <c r="BH38" i="19"/>
  <c r="BI38" i="19" s="1"/>
  <c r="BJ38" i="19" s="1"/>
  <c r="BK38" i="19" s="1"/>
  <c r="BL38" i="19" s="1"/>
  <c r="BH13" i="19"/>
  <c r="BI13" i="19" s="1"/>
  <c r="BJ13" i="19" s="1"/>
  <c r="BK13" i="19" s="1"/>
  <c r="BL13" i="19" s="1"/>
  <c r="BH16" i="19"/>
  <c r="BI16" i="19" s="1"/>
  <c r="BJ16" i="19" s="1"/>
  <c r="BK16" i="19" s="1"/>
  <c r="BL16" i="19" s="1"/>
  <c r="BH36" i="19"/>
  <c r="BI36" i="19" s="1"/>
  <c r="BJ36" i="19" s="1"/>
  <c r="BK36" i="19" s="1"/>
  <c r="BH34" i="19"/>
  <c r="BI34" i="19" s="1"/>
  <c r="BJ34" i="19" s="1"/>
  <c r="BK34" i="19" s="1"/>
  <c r="BL34" i="19" s="1"/>
  <c r="BH20" i="19"/>
  <c r="BI20" i="19" s="1"/>
  <c r="BJ20" i="19" s="1"/>
  <c r="BK20" i="19" s="1"/>
  <c r="BL20" i="19" s="1"/>
  <c r="AV41" i="20" l="1"/>
  <c r="H37" i="16" s="1"/>
  <c r="K36" i="16"/>
  <c r="BG28" i="20"/>
  <c r="BG14" i="20"/>
  <c r="BG27" i="20"/>
  <c r="BG9" i="20"/>
  <c r="BG22" i="20"/>
  <c r="BG13" i="20"/>
  <c r="BG29" i="20"/>
  <c r="BG25" i="20"/>
  <c r="BG32" i="20"/>
  <c r="BG39" i="20"/>
  <c r="BA41" i="20"/>
  <c r="BG10" i="20"/>
  <c r="BG12" i="20"/>
  <c r="BG17" i="20"/>
  <c r="BG23" i="20"/>
  <c r="BG24" i="20"/>
  <c r="BG30" i="20"/>
  <c r="BG16" i="20"/>
  <c r="BG36" i="20"/>
  <c r="BG33" i="20"/>
  <c r="AZ44" i="20"/>
  <c r="BG18" i="20"/>
  <c r="BB41" i="20"/>
  <c r="BC41" i="20" s="1"/>
  <c r="BD41" i="20" s="1"/>
  <c r="BE41" i="20" s="1"/>
  <c r="BG31" i="20"/>
  <c r="BG38" i="20"/>
  <c r="BG11" i="20"/>
  <c r="BG35" i="20"/>
  <c r="BG21" i="20"/>
  <c r="BG19" i="20"/>
  <c r="BG37" i="20"/>
  <c r="BG26" i="20"/>
  <c r="BG20" i="20"/>
  <c r="BG34" i="20"/>
  <c r="BG15" i="20"/>
  <c r="BH39" i="19"/>
  <c r="BI39" i="19" s="1"/>
  <c r="BJ39" i="19" s="1"/>
  <c r="BK39" i="19" s="1"/>
  <c r="BH19" i="20" l="1"/>
  <c r="BI19" i="20" s="1"/>
  <c r="BJ19" i="20" s="1"/>
  <c r="BK19" i="20" s="1"/>
  <c r="AZ40" i="21"/>
  <c r="BA44" i="20"/>
  <c r="BB44" i="20" s="1"/>
  <c r="BC44" i="20" s="1"/>
  <c r="BD44" i="20" s="1"/>
  <c r="BE44" i="20" s="1"/>
  <c r="AV44" i="20" s="1"/>
  <c r="BH12" i="20"/>
  <c r="BI12" i="20" s="1"/>
  <c r="BJ12" i="20" s="1"/>
  <c r="BK12" i="20" s="1"/>
  <c r="BH22" i="20"/>
  <c r="BI22" i="20" s="1"/>
  <c r="BJ22" i="20" s="1"/>
  <c r="BK22" i="20" s="1"/>
  <c r="BL22" i="20" s="1"/>
  <c r="BH20" i="20"/>
  <c r="BI20" i="20" s="1"/>
  <c r="BJ20" i="20" s="1"/>
  <c r="BK20" i="20" s="1"/>
  <c r="BH33" i="20"/>
  <c r="BI33" i="20" s="1"/>
  <c r="BJ33" i="20" s="1"/>
  <c r="BK33" i="20" s="1"/>
  <c r="BH10" i="20"/>
  <c r="BI10" i="20" s="1"/>
  <c r="BJ10" i="20" s="1"/>
  <c r="BK10" i="20" s="1"/>
  <c r="BL10" i="20" s="1"/>
  <c r="BH28" i="20"/>
  <c r="BI28" i="20" s="1"/>
  <c r="BJ28" i="20" s="1"/>
  <c r="BK28" i="20" s="1"/>
  <c r="BH35" i="20"/>
  <c r="BI35" i="20" s="1"/>
  <c r="BJ35" i="20" s="1"/>
  <c r="BK35" i="20" s="1"/>
  <c r="BL35" i="20" s="1"/>
  <c r="BH36" i="20"/>
  <c r="BI36" i="20" s="1"/>
  <c r="BJ36" i="20" s="1"/>
  <c r="BK36" i="20" s="1"/>
  <c r="BL36" i="20" s="1"/>
  <c r="BH23" i="20"/>
  <c r="BI23" i="20" s="1"/>
  <c r="BJ23" i="20" s="1"/>
  <c r="BK23" i="20" s="1"/>
  <c r="BL23" i="20" s="1"/>
  <c r="BH29" i="20"/>
  <c r="BI29" i="20" s="1"/>
  <c r="BJ29" i="20" s="1"/>
  <c r="BK29" i="20" s="1"/>
  <c r="BL29" i="20" s="1"/>
  <c r="BH27" i="20"/>
  <c r="BI27" i="20" s="1"/>
  <c r="BJ27" i="20" s="1"/>
  <c r="BK27" i="20" s="1"/>
  <c r="BH34" i="20"/>
  <c r="BI34" i="20" s="1"/>
  <c r="BJ34" i="20" s="1"/>
  <c r="BK34" i="20" s="1"/>
  <c r="BH38" i="20"/>
  <c r="BI38" i="20" s="1"/>
  <c r="BJ38" i="20" s="1"/>
  <c r="BK38" i="20" s="1"/>
  <c r="BL38" i="20" s="1"/>
  <c r="BH30" i="20"/>
  <c r="BI30" i="20" s="1"/>
  <c r="BJ30" i="20" s="1"/>
  <c r="BK30" i="20" s="1"/>
  <c r="BL30" i="20" s="1"/>
  <c r="BH32" i="20"/>
  <c r="BI32" i="20" s="1"/>
  <c r="BJ32" i="20" s="1"/>
  <c r="BK32" i="20" s="1"/>
  <c r="BL32" i="20" s="1"/>
  <c r="BH14" i="20"/>
  <c r="BI14" i="20" s="1"/>
  <c r="BJ14" i="20" s="1"/>
  <c r="BK14" i="20" s="1"/>
  <c r="BL14" i="20" s="1"/>
  <c r="BH21" i="20"/>
  <c r="BI21" i="20" s="1"/>
  <c r="BJ21" i="20" s="1"/>
  <c r="BK21" i="20" s="1"/>
  <c r="BL21" i="20" s="1"/>
  <c r="BH31" i="20"/>
  <c r="BI31" i="20" s="1"/>
  <c r="BJ31" i="20" s="1"/>
  <c r="BK31" i="20" s="1"/>
  <c r="BL31" i="20" s="1"/>
  <c r="BH24" i="20"/>
  <c r="BI24" i="20" s="1"/>
  <c r="BJ24" i="20" s="1"/>
  <c r="BK24" i="20" s="1"/>
  <c r="BL24" i="20" s="1"/>
  <c r="BH25" i="20"/>
  <c r="BI25" i="20" s="1"/>
  <c r="BJ25" i="20" s="1"/>
  <c r="BK25" i="20" s="1"/>
  <c r="BL25" i="20" s="1"/>
  <c r="BH9" i="20"/>
  <c r="BI9" i="20" s="1"/>
  <c r="BJ9" i="20" s="1"/>
  <c r="BK9" i="20" s="1"/>
  <c r="BH26" i="20"/>
  <c r="BI26" i="20" s="1"/>
  <c r="BJ26" i="20" s="1"/>
  <c r="BK26" i="20" s="1"/>
  <c r="BH15" i="20"/>
  <c r="BI15" i="20" s="1"/>
  <c r="BJ15" i="20" s="1"/>
  <c r="BK15" i="20" s="1"/>
  <c r="BL15" i="20" s="1"/>
  <c r="BH37" i="20"/>
  <c r="BI37" i="20" s="1"/>
  <c r="BJ37" i="20" s="1"/>
  <c r="BK37" i="20" s="1"/>
  <c r="BL37" i="20" s="1"/>
  <c r="BH11" i="20"/>
  <c r="BI11" i="20" s="1"/>
  <c r="BJ11" i="20" s="1"/>
  <c r="BK11" i="20" s="1"/>
  <c r="BL11" i="20" s="1"/>
  <c r="BH18" i="20"/>
  <c r="BI18" i="20" s="1"/>
  <c r="BJ18" i="20" s="1"/>
  <c r="BK18" i="20" s="1"/>
  <c r="BH16" i="20"/>
  <c r="BI16" i="20" s="1"/>
  <c r="BJ16" i="20" s="1"/>
  <c r="BK16" i="20" s="1"/>
  <c r="BL16" i="20" s="1"/>
  <c r="BH17" i="20"/>
  <c r="BI17" i="20" s="1"/>
  <c r="BJ17" i="20" s="1"/>
  <c r="BK17" i="20" s="1"/>
  <c r="BH39" i="20"/>
  <c r="BI39" i="20" s="1"/>
  <c r="BJ39" i="20" s="1"/>
  <c r="BK39" i="20" s="1"/>
  <c r="BL39" i="20" s="1"/>
  <c r="BH13" i="20"/>
  <c r="BI13" i="20" s="1"/>
  <c r="BJ13" i="20" s="1"/>
  <c r="BK13" i="20" s="1"/>
  <c r="K37" i="16" l="1"/>
  <c r="AV40" i="21"/>
  <c r="BG38" i="21"/>
  <c r="BG30" i="21"/>
  <c r="BG21" i="21"/>
  <c r="BG11" i="21"/>
  <c r="BG33" i="21"/>
  <c r="BG22" i="21"/>
  <c r="BG23" i="21"/>
  <c r="BG10" i="21"/>
  <c r="BG31" i="21"/>
  <c r="BG37" i="21"/>
  <c r="BG19" i="21"/>
  <c r="BG32" i="21"/>
  <c r="BG20" i="21"/>
  <c r="BG12" i="21"/>
  <c r="BG29" i="21"/>
  <c r="BG26" i="21"/>
  <c r="BG13" i="21"/>
  <c r="BG17" i="21"/>
  <c r="BG16" i="21"/>
  <c r="BG25" i="21"/>
  <c r="BG34" i="21"/>
  <c r="BG15" i="21"/>
  <c r="BG24" i="21"/>
  <c r="BG27" i="21"/>
  <c r="AZ43" i="21"/>
  <c r="BA40" i="21"/>
  <c r="BB40" i="21" s="1"/>
  <c r="BC40" i="21" s="1"/>
  <c r="BD40" i="21" s="1"/>
  <c r="BE40" i="21" s="1"/>
  <c r="BG28" i="21"/>
  <c r="BG14" i="21"/>
  <c r="BG36" i="21"/>
  <c r="BG18" i="21"/>
  <c r="BG35" i="21"/>
  <c r="BG9" i="21"/>
  <c r="BH9" i="21" l="1"/>
  <c r="BI9" i="21" s="1"/>
  <c r="BJ9" i="21" s="1"/>
  <c r="BK9" i="21" s="1"/>
  <c r="BH27" i="21"/>
  <c r="BI27" i="21" s="1"/>
  <c r="BJ27" i="21" s="1"/>
  <c r="BK27" i="21" s="1"/>
  <c r="BL27" i="21" s="1"/>
  <c r="BH26" i="21"/>
  <c r="BI26" i="21" s="1"/>
  <c r="BJ26" i="21" s="1"/>
  <c r="BK26" i="21" s="1"/>
  <c r="BL26" i="21" s="1"/>
  <c r="BH35" i="21"/>
  <c r="BI35" i="21" s="1"/>
  <c r="BJ35" i="21" s="1"/>
  <c r="BK35" i="21" s="1"/>
  <c r="BL35" i="21" s="1"/>
  <c r="BH28" i="21"/>
  <c r="BI28" i="21" s="1"/>
  <c r="BJ28" i="21" s="1"/>
  <c r="BK28" i="21" s="1"/>
  <c r="BL28" i="21" s="1"/>
  <c r="BH16" i="21"/>
  <c r="BI16" i="21" s="1"/>
  <c r="BJ16" i="21" s="1"/>
  <c r="BK16" i="21" s="1"/>
  <c r="BH19" i="21"/>
  <c r="BI19" i="21" s="1"/>
  <c r="BJ19" i="21" s="1"/>
  <c r="BK19" i="21" s="1"/>
  <c r="BL19" i="21" s="1"/>
  <c r="BH38" i="21"/>
  <c r="BI38" i="21" s="1"/>
  <c r="BJ38" i="21" s="1"/>
  <c r="BK38" i="21" s="1"/>
  <c r="BH18" i="21"/>
  <c r="BI18" i="21" s="1"/>
  <c r="BJ18" i="21" s="1"/>
  <c r="BK18" i="21" s="1"/>
  <c r="BL18" i="21" s="1"/>
  <c r="BH15" i="21"/>
  <c r="BI15" i="21" s="1"/>
  <c r="BJ15" i="21" s="1"/>
  <c r="BK15" i="21" s="1"/>
  <c r="BL15" i="21" s="1"/>
  <c r="BH17" i="21"/>
  <c r="BI17" i="21" s="1"/>
  <c r="BJ17" i="21" s="1"/>
  <c r="BK17" i="21" s="1"/>
  <c r="BH12" i="21"/>
  <c r="BI12" i="21" s="1"/>
  <c r="BJ12" i="21" s="1"/>
  <c r="BK12" i="21" s="1"/>
  <c r="BL12" i="21" s="1"/>
  <c r="BH37" i="21"/>
  <c r="BI37" i="21" s="1"/>
  <c r="BJ37" i="21" s="1"/>
  <c r="BK37" i="21" s="1"/>
  <c r="BH23" i="21"/>
  <c r="BI23" i="21" s="1"/>
  <c r="BJ23" i="21" s="1"/>
  <c r="BK23" i="21" s="1"/>
  <c r="BH21" i="21"/>
  <c r="BI21" i="21" s="1"/>
  <c r="BJ21" i="21" s="1"/>
  <c r="BK21" i="21" s="1"/>
  <c r="BL21" i="21" s="1"/>
  <c r="H38" i="16"/>
  <c r="AV43" i="21"/>
  <c r="BH14" i="21"/>
  <c r="BI14" i="21" s="1"/>
  <c r="BJ14" i="21" s="1"/>
  <c r="BK14" i="21" s="1"/>
  <c r="BL14" i="21" s="1"/>
  <c r="BH25" i="21"/>
  <c r="BI25" i="21" s="1"/>
  <c r="BJ25" i="21" s="1"/>
  <c r="BK25" i="21" s="1"/>
  <c r="BL25" i="21" s="1"/>
  <c r="BH32" i="21"/>
  <c r="BI32" i="21" s="1"/>
  <c r="BJ32" i="21" s="1"/>
  <c r="BK32" i="21" s="1"/>
  <c r="BL32" i="21" s="1"/>
  <c r="BH33" i="21"/>
  <c r="BI33" i="21" s="1"/>
  <c r="BJ33" i="21" s="1"/>
  <c r="BK33" i="21" s="1"/>
  <c r="BL33" i="21" s="1"/>
  <c r="BH24" i="21"/>
  <c r="BI24" i="21" s="1"/>
  <c r="BJ24" i="21" s="1"/>
  <c r="BK24" i="21" s="1"/>
  <c r="BH29" i="21"/>
  <c r="BI29" i="21" s="1"/>
  <c r="BJ29" i="21" s="1"/>
  <c r="BK29" i="21" s="1"/>
  <c r="BL29" i="21" s="1"/>
  <c r="BH10" i="21"/>
  <c r="BI10" i="21" s="1"/>
  <c r="BJ10" i="21" s="1"/>
  <c r="BK10" i="21" s="1"/>
  <c r="BH11" i="21"/>
  <c r="BI11" i="21" s="1"/>
  <c r="BJ11" i="21" s="1"/>
  <c r="BK11" i="21" s="1"/>
  <c r="BL11" i="21" s="1"/>
  <c r="BH36" i="21"/>
  <c r="BI36" i="21" s="1"/>
  <c r="BJ36" i="21" s="1"/>
  <c r="BK36" i="21" s="1"/>
  <c r="BL36" i="21" s="1"/>
  <c r="BA43" i="21"/>
  <c r="BB43" i="21" s="1"/>
  <c r="BC43" i="21" s="1"/>
  <c r="BD43" i="21" s="1"/>
  <c r="BE43" i="21" s="1"/>
  <c r="AZ41" i="22"/>
  <c r="BH34" i="21"/>
  <c r="BI34" i="21" s="1"/>
  <c r="BJ34" i="21" s="1"/>
  <c r="BK34" i="21" s="1"/>
  <c r="BL34" i="21" s="1"/>
  <c r="BH13" i="21"/>
  <c r="BI13" i="21" s="1"/>
  <c r="BJ13" i="21" s="1"/>
  <c r="BK13" i="21" s="1"/>
  <c r="BH20" i="21"/>
  <c r="BI20" i="21" s="1"/>
  <c r="BJ20" i="21" s="1"/>
  <c r="BK20" i="21" s="1"/>
  <c r="BL20" i="21" s="1"/>
  <c r="BH31" i="21"/>
  <c r="BI31" i="21" s="1"/>
  <c r="BJ31" i="21" s="1"/>
  <c r="BK31" i="21" s="1"/>
  <c r="BH22" i="21"/>
  <c r="BI22" i="21" s="1"/>
  <c r="BJ22" i="21" s="1"/>
  <c r="BK22" i="21" s="1"/>
  <c r="BL22" i="21" s="1"/>
  <c r="BH30" i="21"/>
  <c r="BI30" i="21" s="1"/>
  <c r="BJ30" i="21" s="1"/>
  <c r="BK30" i="21" s="1"/>
  <c r="AV41" i="22" l="1"/>
  <c r="H39" i="16" s="1"/>
  <c r="K38" i="16"/>
  <c r="BG30" i="22"/>
  <c r="BG24" i="22"/>
  <c r="BG18" i="22"/>
  <c r="BG21" i="22"/>
  <c r="BG16" i="22"/>
  <c r="BG31" i="22"/>
  <c r="BG25" i="22"/>
  <c r="BG17" i="22"/>
  <c r="BA41" i="22"/>
  <c r="BB41" i="22" s="1"/>
  <c r="BC41" i="22" s="1"/>
  <c r="BD41" i="22" s="1"/>
  <c r="BE41" i="22" s="1"/>
  <c r="BG35" i="22"/>
  <c r="BG22" i="22"/>
  <c r="BG13" i="22"/>
  <c r="BG19" i="22"/>
  <c r="BG33" i="22"/>
  <c r="BG37" i="22"/>
  <c r="BG28" i="22"/>
  <c r="BG32" i="22"/>
  <c r="BG27" i="22"/>
  <c r="BG9" i="22"/>
  <c r="BG10" i="22"/>
  <c r="BG14" i="22"/>
  <c r="BG20" i="22"/>
  <c r="BG23" i="22"/>
  <c r="BG36" i="22"/>
  <c r="BG26" i="22"/>
  <c r="BG15" i="22"/>
  <c r="BG12" i="22"/>
  <c r="BG29" i="22"/>
  <c r="BG38" i="22"/>
  <c r="BG39" i="22"/>
  <c r="BG34" i="22"/>
  <c r="BG11" i="22"/>
  <c r="AZ44" i="22"/>
  <c r="BH12" i="22" l="1"/>
  <c r="BI12" i="22" s="1"/>
  <c r="BJ12" i="22" s="1"/>
  <c r="BK12" i="22" s="1"/>
  <c r="BL12" i="22" s="1"/>
  <c r="BH28" i="22"/>
  <c r="BI28" i="22" s="1"/>
  <c r="BJ28" i="22" s="1"/>
  <c r="BK28" i="22" s="1"/>
  <c r="BH13" i="22"/>
  <c r="BI13" i="22" s="1"/>
  <c r="BJ13" i="22" s="1"/>
  <c r="BK13" i="22" s="1"/>
  <c r="BL13" i="22" s="1"/>
  <c r="BH17" i="22"/>
  <c r="BI17" i="22" s="1"/>
  <c r="BJ17" i="22" s="1"/>
  <c r="BK17" i="22" s="1"/>
  <c r="BL17" i="22" s="1"/>
  <c r="BH15" i="22"/>
  <c r="BI15" i="22" s="1"/>
  <c r="BJ15" i="22" s="1"/>
  <c r="BK15" i="22" s="1"/>
  <c r="BH9" i="22"/>
  <c r="BI9" i="22" s="1"/>
  <c r="BJ9" i="22" s="1"/>
  <c r="BK9" i="22" s="1"/>
  <c r="BL9" i="22" s="1"/>
  <c r="BH22" i="22"/>
  <c r="BI22" i="22" s="1"/>
  <c r="BJ22" i="22" s="1"/>
  <c r="BK22" i="22" s="1"/>
  <c r="BH18" i="22"/>
  <c r="BI18" i="22" s="1"/>
  <c r="BJ18" i="22" s="1"/>
  <c r="BK18" i="22" s="1"/>
  <c r="BL18" i="22" s="1"/>
  <c r="BH38" i="22"/>
  <c r="BI38" i="22" s="1"/>
  <c r="BJ38" i="22" s="1"/>
  <c r="BK38" i="22" s="1"/>
  <c r="BL38" i="22" s="1"/>
  <c r="BH26" i="22"/>
  <c r="BI26" i="22" s="1"/>
  <c r="BJ26" i="22" s="1"/>
  <c r="BK26" i="22" s="1"/>
  <c r="BL26" i="22" s="1"/>
  <c r="BH27" i="22"/>
  <c r="BI27" i="22" s="1"/>
  <c r="BJ27" i="22" s="1"/>
  <c r="BK27" i="22" s="1"/>
  <c r="BL27" i="22" s="1"/>
  <c r="BH11" i="22"/>
  <c r="BI11" i="22" s="1"/>
  <c r="BJ11" i="22" s="1"/>
  <c r="BK11" i="22" s="1"/>
  <c r="BL11" i="22" s="1"/>
  <c r="BH29" i="22"/>
  <c r="BI29" i="22" s="1"/>
  <c r="BJ29" i="22" s="1"/>
  <c r="BK29" i="22" s="1"/>
  <c r="BH36" i="22"/>
  <c r="BI36" i="22" s="1"/>
  <c r="BJ36" i="22" s="1"/>
  <c r="BK36" i="22" s="1"/>
  <c r="BH14" i="22"/>
  <c r="BI14" i="22" s="1"/>
  <c r="BJ14" i="22" s="1"/>
  <c r="BK14" i="22" s="1"/>
  <c r="BH32" i="22"/>
  <c r="BI32" i="22" s="1"/>
  <c r="BJ32" i="22" s="1"/>
  <c r="BK32" i="22" s="1"/>
  <c r="BL32" i="22" s="1"/>
  <c r="BH19" i="22"/>
  <c r="BI19" i="22" s="1"/>
  <c r="BJ19" i="22" s="1"/>
  <c r="BK19" i="22" s="1"/>
  <c r="BL19" i="22" s="1"/>
  <c r="BH16" i="22"/>
  <c r="BI16" i="22" s="1"/>
  <c r="BJ16" i="22" s="1"/>
  <c r="BK16" i="22" s="1"/>
  <c r="BL16" i="22" s="1"/>
  <c r="BH30" i="22"/>
  <c r="BI30" i="22" s="1"/>
  <c r="BJ30" i="22" s="1"/>
  <c r="BK30" i="22" s="1"/>
  <c r="BL30" i="22" s="1"/>
  <c r="BH34" i="22"/>
  <c r="BI34" i="22" s="1"/>
  <c r="BJ34" i="22" s="1"/>
  <c r="BK34" i="22" s="1"/>
  <c r="BL34" i="22" s="1"/>
  <c r="BH23" i="22"/>
  <c r="BI23" i="22" s="1"/>
  <c r="BJ23" i="22" s="1"/>
  <c r="BK23" i="22" s="1"/>
  <c r="BL23" i="22" s="1"/>
  <c r="BH10" i="22"/>
  <c r="BI10" i="22" s="1"/>
  <c r="BJ10" i="22" s="1"/>
  <c r="BK10" i="22" s="1"/>
  <c r="BL10" i="22" s="1"/>
  <c r="BH21" i="22"/>
  <c r="BI21" i="22" s="1"/>
  <c r="BJ21" i="22" s="1"/>
  <c r="BK21" i="22" s="1"/>
  <c r="BH39" i="22"/>
  <c r="BI39" i="22" s="1"/>
  <c r="BJ39" i="22" s="1"/>
  <c r="BK39" i="22" s="1"/>
  <c r="BL39" i="22" s="1"/>
  <c r="BH20" i="22"/>
  <c r="BI20" i="22" s="1"/>
  <c r="BJ20" i="22" s="1"/>
  <c r="BK20" i="22" s="1"/>
  <c r="BL20" i="22" s="1"/>
  <c r="BH37" i="22"/>
  <c r="BI37" i="22" s="1"/>
  <c r="BJ37" i="22" s="1"/>
  <c r="BK37" i="22" s="1"/>
  <c r="BL37" i="22" s="1"/>
  <c r="BH25" i="22"/>
  <c r="BI25" i="22" s="1"/>
  <c r="BJ25" i="22" s="1"/>
  <c r="BK25" i="22" s="1"/>
  <c r="BL25" i="22" s="1"/>
  <c r="AZ41" i="24"/>
  <c r="BA44" i="22"/>
  <c r="BB44" i="22" s="1"/>
  <c r="BC44" i="22" s="1"/>
  <c r="BD44" i="22" s="1"/>
  <c r="BE44" i="22" s="1"/>
  <c r="AV44" i="22" s="1"/>
  <c r="BH33" i="22"/>
  <c r="BI33" i="22" s="1"/>
  <c r="BJ33" i="22" s="1"/>
  <c r="BK33" i="22" s="1"/>
  <c r="BL33" i="22" s="1"/>
  <c r="BH35" i="22"/>
  <c r="BI35" i="22" s="1"/>
  <c r="BJ35" i="22" s="1"/>
  <c r="BK35" i="22" s="1"/>
  <c r="BH31" i="22"/>
  <c r="BI31" i="22" s="1"/>
  <c r="BJ31" i="22" s="1"/>
  <c r="BK31" i="22" s="1"/>
  <c r="BL31" i="22" s="1"/>
  <c r="BH24" i="22"/>
  <c r="BI24" i="22" s="1"/>
  <c r="BJ24" i="22" s="1"/>
  <c r="BK24" i="22" s="1"/>
  <c r="BL24" i="22" s="1"/>
  <c r="K39" i="16" l="1"/>
  <c r="AV41" i="24"/>
  <c r="H40" i="16" s="1"/>
  <c r="BG31" i="24"/>
  <c r="BG38" i="24"/>
  <c r="BG32" i="24"/>
  <c r="BG33" i="24"/>
  <c r="BG14" i="24"/>
  <c r="BG28" i="24"/>
  <c r="BG20" i="24"/>
  <c r="BG15" i="24"/>
  <c r="BG16" i="24"/>
  <c r="BG26" i="24"/>
  <c r="BG37" i="24"/>
  <c r="BG18" i="24"/>
  <c r="BG24" i="24"/>
  <c r="BG19" i="24"/>
  <c r="BG13" i="24"/>
  <c r="BG30" i="24"/>
  <c r="BA41" i="24"/>
  <c r="BG11" i="24"/>
  <c r="BG34" i="24"/>
  <c r="BG12" i="24"/>
  <c r="BG22" i="24"/>
  <c r="BG27" i="24"/>
  <c r="AZ44" i="24"/>
  <c r="BG39" i="24"/>
  <c r="BG17" i="24"/>
  <c r="BG35" i="24"/>
  <c r="BG25" i="24"/>
  <c r="BG36" i="24"/>
  <c r="BG29" i="24"/>
  <c r="BG9" i="24"/>
  <c r="BG10" i="24"/>
  <c r="BG23" i="24"/>
  <c r="BB41" i="24"/>
  <c r="BC41" i="24" s="1"/>
  <c r="BD41" i="24" s="1"/>
  <c r="BE41" i="24" s="1"/>
  <c r="BG21" i="24"/>
  <c r="BH9" i="24" l="1"/>
  <c r="BI9" i="24" s="1"/>
  <c r="BJ9" i="24" s="1"/>
  <c r="BK9" i="24" s="1"/>
  <c r="BL9" i="24" s="1"/>
  <c r="BH27" i="24"/>
  <c r="BI27" i="24" s="1"/>
  <c r="BJ27" i="24" s="1"/>
  <c r="BK27" i="24" s="1"/>
  <c r="BL27" i="24" s="1"/>
  <c r="BH19" i="24"/>
  <c r="BI19" i="24" s="1"/>
  <c r="BJ19" i="24" s="1"/>
  <c r="BK19" i="24" s="1"/>
  <c r="BH28" i="24"/>
  <c r="BI28" i="24" s="1"/>
  <c r="BJ28" i="24" s="1"/>
  <c r="BK28" i="24" s="1"/>
  <c r="BL28" i="24" s="1"/>
  <c r="BH23" i="24"/>
  <c r="BI23" i="24" s="1"/>
  <c r="BJ23" i="24" s="1"/>
  <c r="BK23" i="24" s="1"/>
  <c r="BL23" i="24" s="1"/>
  <c r="BH29" i="24"/>
  <c r="BI29" i="24" s="1"/>
  <c r="BJ29" i="24" s="1"/>
  <c r="BK29" i="24" s="1"/>
  <c r="BL29" i="24" s="1"/>
  <c r="BH17" i="24"/>
  <c r="BI17" i="24" s="1"/>
  <c r="BJ17" i="24" s="1"/>
  <c r="BK17" i="24" s="1"/>
  <c r="BL17" i="24" s="1"/>
  <c r="BH22" i="24"/>
  <c r="BI22" i="24" s="1"/>
  <c r="BJ22" i="24" s="1"/>
  <c r="BK22" i="24" s="1"/>
  <c r="BL22" i="24" s="1"/>
  <c r="BH24" i="24"/>
  <c r="BI24" i="24" s="1"/>
  <c r="BJ24" i="24" s="1"/>
  <c r="BK24" i="24" s="1"/>
  <c r="BL24" i="24" s="1"/>
  <c r="BH16" i="24"/>
  <c r="BI16" i="24" s="1"/>
  <c r="BJ16" i="24" s="1"/>
  <c r="BK16" i="24" s="1"/>
  <c r="BL16" i="24" s="1"/>
  <c r="BH14" i="24"/>
  <c r="BI14" i="24" s="1"/>
  <c r="BJ14" i="24" s="1"/>
  <c r="BK14" i="24" s="1"/>
  <c r="BL14" i="24" s="1"/>
  <c r="BH31" i="24"/>
  <c r="BI31" i="24" s="1"/>
  <c r="BJ31" i="24" s="1"/>
  <c r="BK31" i="24" s="1"/>
  <c r="BL31" i="24" s="1"/>
  <c r="BH10" i="24"/>
  <c r="BI10" i="24" s="1"/>
  <c r="BJ10" i="24" s="1"/>
  <c r="BK10" i="24" s="1"/>
  <c r="BL10" i="24" s="1"/>
  <c r="BH36" i="24"/>
  <c r="BI36" i="24" s="1"/>
  <c r="BJ36" i="24" s="1"/>
  <c r="BK36" i="24" s="1"/>
  <c r="BL36" i="24" s="1"/>
  <c r="BH39" i="24"/>
  <c r="BI39" i="24" s="1"/>
  <c r="BJ39" i="24" s="1"/>
  <c r="BK39" i="24" s="1"/>
  <c r="BH12" i="24"/>
  <c r="BI12" i="24" s="1"/>
  <c r="BJ12" i="24" s="1"/>
  <c r="BK12" i="24" s="1"/>
  <c r="BH30" i="24"/>
  <c r="BI30" i="24" s="1"/>
  <c r="BJ30" i="24" s="1"/>
  <c r="BK30" i="24" s="1"/>
  <c r="BL30" i="24" s="1"/>
  <c r="BH18" i="24"/>
  <c r="BI18" i="24" s="1"/>
  <c r="BJ18" i="24" s="1"/>
  <c r="BK18" i="24" s="1"/>
  <c r="BH15" i="24"/>
  <c r="BI15" i="24" s="1"/>
  <c r="BJ15" i="24" s="1"/>
  <c r="BK15" i="24" s="1"/>
  <c r="BL15" i="24" s="1"/>
  <c r="BH33" i="24"/>
  <c r="BI33" i="24" s="1"/>
  <c r="BJ33" i="24" s="1"/>
  <c r="BK33" i="24" s="1"/>
  <c r="BH35" i="24"/>
  <c r="BI35" i="24" s="1"/>
  <c r="BJ35" i="24" s="1"/>
  <c r="BK35" i="24" s="1"/>
  <c r="BL35" i="24" s="1"/>
  <c r="BH11" i="24"/>
  <c r="BI11" i="24" s="1"/>
  <c r="BJ11" i="24" s="1"/>
  <c r="BK11" i="24" s="1"/>
  <c r="BH26" i="24"/>
  <c r="BI26" i="24" s="1"/>
  <c r="BJ26" i="24" s="1"/>
  <c r="BK26" i="24" s="1"/>
  <c r="BH38" i="24"/>
  <c r="BI38" i="24" s="1"/>
  <c r="BJ38" i="24" s="1"/>
  <c r="BK38" i="24" s="1"/>
  <c r="BL38" i="24" s="1"/>
  <c r="BH21" i="24"/>
  <c r="BI21" i="24" s="1"/>
  <c r="BJ21" i="24" s="1"/>
  <c r="BK21" i="24" s="1"/>
  <c r="BL21" i="24" s="1"/>
  <c r="BH25" i="24"/>
  <c r="BI25" i="24" s="1"/>
  <c r="BJ25" i="24" s="1"/>
  <c r="BK25" i="24" s="1"/>
  <c r="BA44" i="24"/>
  <c r="BB44" i="24" s="1"/>
  <c r="BC44" i="24" s="1"/>
  <c r="BD44" i="24" s="1"/>
  <c r="BE44" i="24" s="1"/>
  <c r="AV44" i="24" s="1"/>
  <c r="AZ40" i="23"/>
  <c r="BH34" i="24"/>
  <c r="BI34" i="24" s="1"/>
  <c r="BJ34" i="24" s="1"/>
  <c r="BK34" i="24" s="1"/>
  <c r="BL34" i="24" s="1"/>
  <c r="BH13" i="24"/>
  <c r="BI13" i="24" s="1"/>
  <c r="BJ13" i="24" s="1"/>
  <c r="BK13" i="24" s="1"/>
  <c r="BL13" i="24" s="1"/>
  <c r="BH37" i="24"/>
  <c r="BI37" i="24" s="1"/>
  <c r="BJ37" i="24" s="1"/>
  <c r="BK37" i="24" s="1"/>
  <c r="BL37" i="24" s="1"/>
  <c r="BH20" i="24"/>
  <c r="BI20" i="24" s="1"/>
  <c r="BJ20" i="24" s="1"/>
  <c r="BK20" i="24" s="1"/>
  <c r="BL20" i="24" s="1"/>
  <c r="BH32" i="24"/>
  <c r="BI32" i="24" s="1"/>
  <c r="BJ32" i="24" s="1"/>
  <c r="BK32" i="24" s="1"/>
  <c r="K40" i="16" l="1"/>
  <c r="AV40" i="23"/>
  <c r="H41" i="16" s="1"/>
  <c r="BG33" i="23"/>
  <c r="BG36" i="23"/>
  <c r="BG26" i="23"/>
  <c r="AZ43" i="23"/>
  <c r="BG35" i="23"/>
  <c r="BG16" i="23"/>
  <c r="BG24" i="23"/>
  <c r="BG10" i="23"/>
  <c r="BA40" i="23"/>
  <c r="BB40" i="23" s="1"/>
  <c r="BC40" i="23" s="1"/>
  <c r="BD40" i="23" s="1"/>
  <c r="BE40" i="23" s="1"/>
  <c r="BG12" i="23"/>
  <c r="BG31" i="23"/>
  <c r="BG19" i="23"/>
  <c r="BG29" i="23"/>
  <c r="BG34" i="23"/>
  <c r="BG23" i="23"/>
  <c r="BG11" i="23"/>
  <c r="BG9" i="23"/>
  <c r="BG27" i="23"/>
  <c r="BG21" i="23"/>
  <c r="BG37" i="23"/>
  <c r="BG32" i="23"/>
  <c r="BG30" i="23"/>
  <c r="BG38" i="23"/>
  <c r="BG14" i="23"/>
  <c r="BG15" i="23"/>
  <c r="BG20" i="23"/>
  <c r="BG25" i="23"/>
  <c r="BG17" i="23"/>
  <c r="BG22" i="23"/>
  <c r="BG13" i="23"/>
  <c r="BG18" i="23"/>
  <c r="BG28" i="23"/>
  <c r="BH18" i="23" l="1"/>
  <c r="BI18" i="23" s="1"/>
  <c r="BJ18" i="23" s="1"/>
  <c r="BK18" i="23" s="1"/>
  <c r="BL18" i="23" s="1"/>
  <c r="BH17" i="23"/>
  <c r="BI17" i="23" s="1"/>
  <c r="BJ17" i="23" s="1"/>
  <c r="BK17" i="23" s="1"/>
  <c r="BL17" i="23" s="1"/>
  <c r="BH14" i="23"/>
  <c r="BI14" i="23" s="1"/>
  <c r="BJ14" i="23" s="1"/>
  <c r="BK14" i="23" s="1"/>
  <c r="BL14" i="23" s="1"/>
  <c r="BH19" i="23"/>
  <c r="BI19" i="23" s="1"/>
  <c r="BJ19" i="23" s="1"/>
  <c r="BK19" i="23" s="1"/>
  <c r="BL19" i="23" s="1"/>
  <c r="BH10" i="23"/>
  <c r="BI10" i="23" s="1"/>
  <c r="BJ10" i="23" s="1"/>
  <c r="BK10" i="23" s="1"/>
  <c r="BL10" i="23" s="1"/>
  <c r="AZ41" i="25"/>
  <c r="BA43" i="23"/>
  <c r="BB43" i="23" s="1"/>
  <c r="BC43" i="23" s="1"/>
  <c r="BD43" i="23" s="1"/>
  <c r="BE43" i="23" s="1"/>
  <c r="AV43" i="23" s="1"/>
  <c r="BH38" i="23"/>
  <c r="BI38" i="23" s="1"/>
  <c r="BJ38" i="23" s="1"/>
  <c r="BK38" i="23" s="1"/>
  <c r="BL38" i="23" s="1"/>
  <c r="BH21" i="23"/>
  <c r="BI21" i="23" s="1"/>
  <c r="BJ21" i="23" s="1"/>
  <c r="BK21" i="23" s="1"/>
  <c r="BL21" i="23" s="1"/>
  <c r="BH31" i="23"/>
  <c r="BI31" i="23" s="1"/>
  <c r="BJ31" i="23" s="1"/>
  <c r="BK31" i="23" s="1"/>
  <c r="BL31" i="23" s="1"/>
  <c r="BH20" i="23"/>
  <c r="BI20" i="23" s="1"/>
  <c r="BJ20" i="23" s="1"/>
  <c r="BK20" i="23" s="1"/>
  <c r="BL20" i="23" s="1"/>
  <c r="BH30" i="23"/>
  <c r="BI30" i="23" s="1"/>
  <c r="BJ30" i="23" s="1"/>
  <c r="BK30" i="23" s="1"/>
  <c r="BH27" i="23"/>
  <c r="BI27" i="23" s="1"/>
  <c r="BJ27" i="23" s="1"/>
  <c r="BK27" i="23" s="1"/>
  <c r="BL27" i="23" s="1"/>
  <c r="BH34" i="23"/>
  <c r="BI34" i="23" s="1"/>
  <c r="BJ34" i="23" s="1"/>
  <c r="BK34" i="23" s="1"/>
  <c r="BL34" i="23" s="1"/>
  <c r="BH12" i="23"/>
  <c r="BI12" i="23" s="1"/>
  <c r="BJ12" i="23" s="1"/>
  <c r="BK12" i="23" s="1"/>
  <c r="BL12" i="23" s="1"/>
  <c r="BH16" i="23"/>
  <c r="BI16" i="23" s="1"/>
  <c r="BJ16" i="23" s="1"/>
  <c r="BK16" i="23" s="1"/>
  <c r="BH28" i="23"/>
  <c r="BI28" i="23" s="1"/>
  <c r="BJ28" i="23" s="1"/>
  <c r="BK28" i="23" s="1"/>
  <c r="BL28" i="23" s="1"/>
  <c r="BH22" i="23"/>
  <c r="BI22" i="23" s="1"/>
  <c r="BJ22" i="23" s="1"/>
  <c r="BK22" i="23" s="1"/>
  <c r="BH15" i="23"/>
  <c r="BI15" i="23" s="1"/>
  <c r="BJ15" i="23" s="1"/>
  <c r="BK15" i="23" s="1"/>
  <c r="BH32" i="23"/>
  <c r="BI32" i="23" s="1"/>
  <c r="BJ32" i="23" s="1"/>
  <c r="BK32" i="23" s="1"/>
  <c r="BL32" i="23" s="1"/>
  <c r="BH9" i="23"/>
  <c r="BI9" i="23" s="1"/>
  <c r="BJ9" i="23" s="1"/>
  <c r="BK9" i="23" s="1"/>
  <c r="BH29" i="23"/>
  <c r="BI29" i="23" s="1"/>
  <c r="BJ29" i="23" s="1"/>
  <c r="BK29" i="23" s="1"/>
  <c r="BH35" i="23"/>
  <c r="BI35" i="23" s="1"/>
  <c r="BJ35" i="23" s="1"/>
  <c r="BK35" i="23" s="1"/>
  <c r="BL35" i="23" s="1"/>
  <c r="BH37" i="23"/>
  <c r="BI37" i="23" s="1"/>
  <c r="BJ37" i="23" s="1"/>
  <c r="BK37" i="23" s="1"/>
  <c r="BH11" i="23"/>
  <c r="BI11" i="23" s="1"/>
  <c r="BJ11" i="23" s="1"/>
  <c r="BK11" i="23" s="1"/>
  <c r="BL11" i="23" s="1"/>
  <c r="BH33" i="23"/>
  <c r="BI33" i="23" s="1"/>
  <c r="BJ33" i="23" s="1"/>
  <c r="BK33" i="23" s="1"/>
  <c r="BL33" i="23" s="1"/>
  <c r="BH25" i="23"/>
  <c r="BI25" i="23" s="1"/>
  <c r="BJ25" i="23" s="1"/>
  <c r="BK25" i="23" s="1"/>
  <c r="BL25" i="23" s="1"/>
  <c r="BH23" i="23"/>
  <c r="BI23" i="23" s="1"/>
  <c r="BJ23" i="23" s="1"/>
  <c r="BK23" i="23" s="1"/>
  <c r="BH24" i="23"/>
  <c r="BI24" i="23" s="1"/>
  <c r="BJ24" i="23" s="1"/>
  <c r="BK24" i="23" s="1"/>
  <c r="BL24" i="23" s="1"/>
  <c r="BH26" i="23"/>
  <c r="BI26" i="23" s="1"/>
  <c r="BJ26" i="23" s="1"/>
  <c r="BK26" i="23" s="1"/>
  <c r="BL26" i="23" s="1"/>
  <c r="BH13" i="23"/>
  <c r="BI13" i="23" s="1"/>
  <c r="BJ13" i="23" s="1"/>
  <c r="BK13" i="23" s="1"/>
  <c r="BL13" i="23" s="1"/>
  <c r="BH36" i="23"/>
  <c r="BI36" i="23" s="1"/>
  <c r="BJ36" i="23" s="1"/>
  <c r="BK36" i="23" s="1"/>
  <c r="AV41" i="25" l="1"/>
  <c r="H42" i="16" s="1"/>
  <c r="K41" i="16"/>
  <c r="BG20" i="25"/>
  <c r="BG27" i="25"/>
  <c r="BG32" i="25"/>
  <c r="BG37" i="25"/>
  <c r="BG34" i="25"/>
  <c r="BG22" i="25"/>
  <c r="BG28" i="25"/>
  <c r="BG18" i="25"/>
  <c r="BG19" i="25"/>
  <c r="BG31" i="25"/>
  <c r="BG13" i="25"/>
  <c r="BG11" i="25"/>
  <c r="AZ44" i="25"/>
  <c r="BG36" i="25"/>
  <c r="BG21" i="25"/>
  <c r="BG29" i="25"/>
  <c r="BG24" i="25"/>
  <c r="BG16" i="25"/>
  <c r="BG33" i="25"/>
  <c r="BG15" i="25"/>
  <c r="BG10" i="25"/>
  <c r="BG14" i="25"/>
  <c r="BG30" i="25"/>
  <c r="BG26" i="25"/>
  <c r="BA41" i="25"/>
  <c r="BB41" i="25" s="1"/>
  <c r="BC41" i="25" s="1"/>
  <c r="BD41" i="25" s="1"/>
  <c r="BE41" i="25" s="1"/>
  <c r="BG38" i="25"/>
  <c r="BG25" i="25"/>
  <c r="BG35" i="25"/>
  <c r="BG39" i="25"/>
  <c r="BG9" i="25"/>
  <c r="BG12" i="25"/>
  <c r="BG23" i="25"/>
  <c r="BG17" i="25"/>
  <c r="BH39" i="25" l="1"/>
  <c r="BI39" i="25" s="1"/>
  <c r="BJ39" i="25" s="1"/>
  <c r="BK39" i="25" s="1"/>
  <c r="BL39" i="25" s="1"/>
  <c r="BH10" i="25"/>
  <c r="BI10" i="25" s="1"/>
  <c r="BJ10" i="25" s="1"/>
  <c r="BK10" i="25" s="1"/>
  <c r="BL10" i="25" s="1"/>
  <c r="AZ40" i="26"/>
  <c r="BA44" i="25"/>
  <c r="BB44" i="25" s="1"/>
  <c r="BC44" i="25" s="1"/>
  <c r="BD44" i="25" s="1"/>
  <c r="BE44" i="25" s="1"/>
  <c r="AV44" i="25" s="1"/>
  <c r="BH34" i="25"/>
  <c r="BI34" i="25" s="1"/>
  <c r="BJ34" i="25" s="1"/>
  <c r="BK34" i="25" s="1"/>
  <c r="BH35" i="25"/>
  <c r="BI35" i="25" s="1"/>
  <c r="BJ35" i="25" s="1"/>
  <c r="BK35" i="25" s="1"/>
  <c r="BH29" i="25"/>
  <c r="BI29" i="25" s="1"/>
  <c r="BJ29" i="25" s="1"/>
  <c r="BK29" i="25" s="1"/>
  <c r="BL29" i="25" s="1"/>
  <c r="BH20" i="25"/>
  <c r="BI20" i="25" s="1"/>
  <c r="BJ20" i="25" s="1"/>
  <c r="BK20" i="25" s="1"/>
  <c r="BH30" i="25"/>
  <c r="BI30" i="25" s="1"/>
  <c r="BJ30" i="25" s="1"/>
  <c r="BK30" i="25" s="1"/>
  <c r="BL30" i="25" s="1"/>
  <c r="BH33" i="25"/>
  <c r="BI33" i="25" s="1"/>
  <c r="BJ33" i="25" s="1"/>
  <c r="BK33" i="25" s="1"/>
  <c r="BL33" i="25" s="1"/>
  <c r="BH13" i="25"/>
  <c r="BI13" i="25" s="1"/>
  <c r="BJ13" i="25" s="1"/>
  <c r="BK13" i="25" s="1"/>
  <c r="BH28" i="25"/>
  <c r="BI28" i="25" s="1"/>
  <c r="BJ28" i="25" s="1"/>
  <c r="BK28" i="25" s="1"/>
  <c r="BH37" i="25"/>
  <c r="BI37" i="25" s="1"/>
  <c r="BJ37" i="25" s="1"/>
  <c r="BK37" i="25" s="1"/>
  <c r="BL37" i="25" s="1"/>
  <c r="BH24" i="25"/>
  <c r="BI24" i="25" s="1"/>
  <c r="BJ24" i="25" s="1"/>
  <c r="BK24" i="25" s="1"/>
  <c r="BL24" i="25" s="1"/>
  <c r="BH19" i="25"/>
  <c r="BI19" i="25" s="1"/>
  <c r="BJ19" i="25" s="1"/>
  <c r="BK19" i="25" s="1"/>
  <c r="BL19" i="25" s="1"/>
  <c r="BH27" i="25"/>
  <c r="BI27" i="25" s="1"/>
  <c r="BJ27" i="25" s="1"/>
  <c r="BK27" i="25" s="1"/>
  <c r="BH23" i="25"/>
  <c r="BI23" i="25" s="1"/>
  <c r="BJ23" i="25" s="1"/>
  <c r="BK23" i="25" s="1"/>
  <c r="BL23" i="25" s="1"/>
  <c r="BH26" i="25"/>
  <c r="BI26" i="25" s="1"/>
  <c r="BJ26" i="25" s="1"/>
  <c r="BK26" i="25" s="1"/>
  <c r="BL26" i="25" s="1"/>
  <c r="BH15" i="25"/>
  <c r="BI15" i="25" s="1"/>
  <c r="BJ15" i="25" s="1"/>
  <c r="BK15" i="25" s="1"/>
  <c r="BL15" i="25" s="1"/>
  <c r="BH11" i="25"/>
  <c r="BI11" i="25" s="1"/>
  <c r="BJ11" i="25" s="1"/>
  <c r="BK11" i="25" s="1"/>
  <c r="BL11" i="25" s="1"/>
  <c r="BH18" i="25"/>
  <c r="BI18" i="25" s="1"/>
  <c r="BJ18" i="25" s="1"/>
  <c r="BK18" i="25" s="1"/>
  <c r="BL18" i="25" s="1"/>
  <c r="BH12" i="25"/>
  <c r="BI12" i="25" s="1"/>
  <c r="BJ12" i="25" s="1"/>
  <c r="BK12" i="25" s="1"/>
  <c r="BL12" i="25" s="1"/>
  <c r="BH25" i="25"/>
  <c r="BI25" i="25" s="1"/>
  <c r="BJ25" i="25" s="1"/>
  <c r="BK25" i="25" s="1"/>
  <c r="BL25" i="25" s="1"/>
  <c r="BH21" i="25"/>
  <c r="BI21" i="25" s="1"/>
  <c r="BJ21" i="25" s="1"/>
  <c r="BK21" i="25" s="1"/>
  <c r="BH17" i="25"/>
  <c r="BI17" i="25" s="1"/>
  <c r="BJ17" i="25" s="1"/>
  <c r="BK17" i="25" s="1"/>
  <c r="BL17" i="25" s="1"/>
  <c r="BH9" i="25"/>
  <c r="BI9" i="25" s="1"/>
  <c r="BJ9" i="25" s="1"/>
  <c r="BK9" i="25" s="1"/>
  <c r="BL9" i="25" s="1"/>
  <c r="BH38" i="25"/>
  <c r="BI38" i="25" s="1"/>
  <c r="BJ38" i="25" s="1"/>
  <c r="BK38" i="25" s="1"/>
  <c r="BL38" i="25" s="1"/>
  <c r="BH14" i="25"/>
  <c r="BI14" i="25" s="1"/>
  <c r="BJ14" i="25" s="1"/>
  <c r="BK14" i="25" s="1"/>
  <c r="BH16" i="25"/>
  <c r="BI16" i="25" s="1"/>
  <c r="BJ16" i="25" s="1"/>
  <c r="BK16" i="25" s="1"/>
  <c r="BL16" i="25" s="1"/>
  <c r="BH36" i="25"/>
  <c r="BI36" i="25" s="1"/>
  <c r="BJ36" i="25" s="1"/>
  <c r="BK36" i="25" s="1"/>
  <c r="BL36" i="25" s="1"/>
  <c r="BH31" i="25"/>
  <c r="BI31" i="25" s="1"/>
  <c r="BJ31" i="25" s="1"/>
  <c r="BK31" i="25" s="1"/>
  <c r="BL31" i="25" s="1"/>
  <c r="BH22" i="25"/>
  <c r="BI22" i="25" s="1"/>
  <c r="BJ22" i="25" s="1"/>
  <c r="BK22" i="25" s="1"/>
  <c r="BL22" i="25" s="1"/>
  <c r="BH32" i="25"/>
  <c r="BI32" i="25" s="1"/>
  <c r="BJ32" i="25" s="1"/>
  <c r="BK32" i="25" s="1"/>
  <c r="BL32" i="25" s="1"/>
  <c r="BA40" i="26" l="1"/>
  <c r="BG29" i="26"/>
  <c r="AZ43" i="26"/>
  <c r="BG27" i="26"/>
  <c r="BG22" i="26"/>
  <c r="BG21" i="26"/>
  <c r="BG14" i="26"/>
  <c r="BG38" i="26"/>
  <c r="BB40" i="26"/>
  <c r="BG24" i="26"/>
  <c r="BG16" i="26"/>
  <c r="BG26" i="26"/>
  <c r="BG13" i="26"/>
  <c r="BG30" i="26"/>
  <c r="BG28" i="26"/>
  <c r="BG10" i="26"/>
  <c r="BG33" i="26"/>
  <c r="BG20" i="26"/>
  <c r="BG11" i="26"/>
  <c r="BG37" i="26"/>
  <c r="BG32" i="26"/>
  <c r="BG35" i="26"/>
  <c r="BG31" i="26"/>
  <c r="BG25" i="26"/>
  <c r="BC40" i="26"/>
  <c r="BD40" i="26" s="1"/>
  <c r="BE40" i="26" s="1"/>
  <c r="BG17" i="26"/>
  <c r="BG19" i="26"/>
  <c r="BG9" i="26"/>
  <c r="BG34" i="26"/>
  <c r="BG36" i="26"/>
  <c r="BG12" i="26"/>
  <c r="BG23" i="26"/>
  <c r="BG15" i="26"/>
  <c r="BG18" i="26"/>
  <c r="K42" i="16"/>
  <c r="AV40" i="26"/>
  <c r="H43" i="16" s="1"/>
  <c r="BH12" i="26" l="1"/>
  <c r="BI12" i="26" s="1"/>
  <c r="BJ12" i="26" s="1"/>
  <c r="BK12" i="26" s="1"/>
  <c r="BL12" i="26" s="1"/>
  <c r="BH19" i="26"/>
  <c r="BI19" i="26" s="1"/>
  <c r="BJ19" i="26" s="1"/>
  <c r="BK19" i="26" s="1"/>
  <c r="BL19" i="26" s="1"/>
  <c r="BH11" i="26"/>
  <c r="BI11" i="26" s="1"/>
  <c r="BJ11" i="26" s="1"/>
  <c r="BK11" i="26" s="1"/>
  <c r="BH16" i="26"/>
  <c r="BI16" i="26" s="1"/>
  <c r="BJ16" i="26" s="1"/>
  <c r="BK16" i="26" s="1"/>
  <c r="BL16" i="26" s="1"/>
  <c r="BH18" i="26"/>
  <c r="BI18" i="26" s="1"/>
  <c r="BJ18" i="26" s="1"/>
  <c r="BK18" i="26" s="1"/>
  <c r="BH17" i="26"/>
  <c r="BI17" i="26" s="1"/>
  <c r="BJ17" i="26" s="1"/>
  <c r="BK17" i="26" s="1"/>
  <c r="BH20" i="26"/>
  <c r="BI20" i="26" s="1"/>
  <c r="BJ20" i="26" s="1"/>
  <c r="BK20" i="26" s="1"/>
  <c r="BL20" i="26" s="1"/>
  <c r="BH30" i="26"/>
  <c r="BI30" i="26" s="1"/>
  <c r="BJ30" i="26" s="1"/>
  <c r="BK30" i="26" s="1"/>
  <c r="BL30" i="26" s="1"/>
  <c r="BH21" i="26"/>
  <c r="BI21" i="26" s="1"/>
  <c r="BJ21" i="26" s="1"/>
  <c r="BK21" i="26" s="1"/>
  <c r="BL21" i="26" s="1"/>
  <c r="BH34" i="26"/>
  <c r="BI34" i="26" s="1"/>
  <c r="BJ34" i="26" s="1"/>
  <c r="BK34" i="26" s="1"/>
  <c r="BL34" i="26" s="1"/>
  <c r="BH23" i="26"/>
  <c r="BI23" i="26" s="1"/>
  <c r="BJ23" i="26" s="1"/>
  <c r="BK23" i="26" s="1"/>
  <c r="BL23" i="26" s="1"/>
  <c r="BH9" i="26"/>
  <c r="BI9" i="26" s="1"/>
  <c r="BJ9" i="26" s="1"/>
  <c r="BK9" i="26" s="1"/>
  <c r="BL9" i="26" s="1"/>
  <c r="BH25" i="26"/>
  <c r="BI25" i="26" s="1"/>
  <c r="BJ25" i="26" s="1"/>
  <c r="BK25" i="26" s="1"/>
  <c r="BH37" i="26"/>
  <c r="BI37" i="26" s="1"/>
  <c r="BJ37" i="26" s="1"/>
  <c r="BK37" i="26" s="1"/>
  <c r="BL37" i="26" s="1"/>
  <c r="BH10" i="26"/>
  <c r="BI10" i="26" s="1"/>
  <c r="BJ10" i="26" s="1"/>
  <c r="BK10" i="26" s="1"/>
  <c r="BH26" i="26"/>
  <c r="BI26" i="26" s="1"/>
  <c r="BJ26" i="26" s="1"/>
  <c r="BK26" i="26" s="1"/>
  <c r="BL26" i="26" s="1"/>
  <c r="BH38" i="26"/>
  <c r="BI38" i="26" s="1"/>
  <c r="BJ38" i="26" s="1"/>
  <c r="BK38" i="26" s="1"/>
  <c r="BH27" i="26"/>
  <c r="BI27" i="26" s="1"/>
  <c r="BJ27" i="26" s="1"/>
  <c r="BK27" i="26" s="1"/>
  <c r="BL27" i="26" s="1"/>
  <c r="BH31" i="26"/>
  <c r="BI31" i="26" s="1"/>
  <c r="BJ31" i="26" s="1"/>
  <c r="BK31" i="26" s="1"/>
  <c r="BH28" i="26"/>
  <c r="BI28" i="26" s="1"/>
  <c r="BJ28" i="26" s="1"/>
  <c r="BK28" i="26" s="1"/>
  <c r="BL28" i="26" s="1"/>
  <c r="BH14" i="26"/>
  <c r="BI14" i="26" s="1"/>
  <c r="BJ14" i="26" s="1"/>
  <c r="BK14" i="26" s="1"/>
  <c r="BL14" i="26" s="1"/>
  <c r="BI41" i="27"/>
  <c r="BA43" i="26"/>
  <c r="BB43" i="26" s="1"/>
  <c r="BC43" i="26" s="1"/>
  <c r="BD43" i="26" s="1"/>
  <c r="BE43" i="26" s="1"/>
  <c r="AV43" i="26" s="1"/>
  <c r="BH36" i="26"/>
  <c r="BI36" i="26" s="1"/>
  <c r="BJ36" i="26" s="1"/>
  <c r="BK36" i="26" s="1"/>
  <c r="BL36" i="26" s="1"/>
  <c r="BH35" i="26"/>
  <c r="BI35" i="26" s="1"/>
  <c r="BJ35" i="26" s="1"/>
  <c r="BK35" i="26" s="1"/>
  <c r="BL35" i="26" s="1"/>
  <c r="BH24" i="26"/>
  <c r="BI24" i="26" s="1"/>
  <c r="BJ24" i="26" s="1"/>
  <c r="BK24" i="26" s="1"/>
  <c r="BH29" i="26"/>
  <c r="BI29" i="26" s="1"/>
  <c r="BJ29" i="26" s="1"/>
  <c r="BK29" i="26" s="1"/>
  <c r="BL29" i="26" s="1"/>
  <c r="BH15" i="26"/>
  <c r="BI15" i="26" s="1"/>
  <c r="BJ15" i="26" s="1"/>
  <c r="BK15" i="26" s="1"/>
  <c r="BL15" i="26" s="1"/>
  <c r="BH32" i="26"/>
  <c r="BI32" i="26" s="1"/>
  <c r="BJ32" i="26" s="1"/>
  <c r="BK32" i="26" s="1"/>
  <c r="BH33" i="26"/>
  <c r="BI33" i="26" s="1"/>
  <c r="BJ33" i="26" s="1"/>
  <c r="BK33" i="26" s="1"/>
  <c r="BL33" i="26" s="1"/>
  <c r="BH13" i="26"/>
  <c r="BI13" i="26" s="1"/>
  <c r="BJ13" i="26" s="1"/>
  <c r="BK13" i="26" s="1"/>
  <c r="BL13" i="26" s="1"/>
  <c r="BH22" i="26"/>
  <c r="BI22" i="26" s="1"/>
  <c r="BJ22" i="26" s="1"/>
  <c r="BK22" i="26" s="1"/>
  <c r="BL22" i="26" s="1"/>
  <c r="K43" i="16" l="1"/>
  <c r="AW41" i="27"/>
  <c r="H44" i="16" s="1"/>
  <c r="BS23" i="27"/>
  <c r="BS28" i="27"/>
  <c r="BS34" i="27"/>
  <c r="BS17" i="27"/>
  <c r="BS32" i="27"/>
  <c r="BS21" i="27"/>
  <c r="BS13" i="27"/>
  <c r="BS9" i="27"/>
  <c r="BS14" i="27"/>
  <c r="BS25" i="27"/>
  <c r="BS24" i="27"/>
  <c r="BS29" i="27"/>
  <c r="BS20" i="27"/>
  <c r="BS36" i="27"/>
  <c r="BS31" i="27"/>
  <c r="BS39" i="27"/>
  <c r="BS35" i="27"/>
  <c r="BS16" i="27"/>
  <c r="BS30" i="27"/>
  <c r="BS11" i="27"/>
  <c r="BS22" i="27"/>
  <c r="BS26" i="27"/>
  <c r="BS27" i="27"/>
  <c r="BS12" i="27"/>
  <c r="BS19" i="27"/>
  <c r="BI44" i="27"/>
  <c r="BS33" i="27"/>
  <c r="BS15" i="27"/>
  <c r="BS38" i="27"/>
  <c r="BJ41" i="27"/>
  <c r="BK41" i="27" s="1"/>
  <c r="BL41" i="27" s="1"/>
  <c r="BM41" i="27" s="1"/>
  <c r="BN41" i="27" s="1"/>
  <c r="BS10" i="27"/>
  <c r="BS18" i="27"/>
  <c r="BS37" i="27"/>
  <c r="BT33" i="27" l="1"/>
  <c r="BU33" i="27" s="1"/>
  <c r="CA33" i="27" s="1"/>
  <c r="CB33" i="27" s="1"/>
  <c r="CC33" i="27" s="1"/>
  <c r="BT27" i="27"/>
  <c r="BU27" i="27" s="1"/>
  <c r="CA27" i="27" s="1"/>
  <c r="CB27" i="27" s="1"/>
  <c r="CC27" i="27" s="1"/>
  <c r="BT39" i="27"/>
  <c r="BU39" i="27" s="1"/>
  <c r="CA39" i="27" s="1"/>
  <c r="CB39" i="27" s="1"/>
  <c r="BT9" i="27"/>
  <c r="BU9" i="27" s="1"/>
  <c r="CA9" i="27" s="1"/>
  <c r="CB9" i="27" s="1"/>
  <c r="BT32" i="27"/>
  <c r="BU32" i="27" s="1"/>
  <c r="CA32" i="27" s="1"/>
  <c r="CB32" i="27" s="1"/>
  <c r="CC32" i="27" s="1"/>
  <c r="BJ44" i="27"/>
  <c r="BK44" i="27" s="1"/>
  <c r="BL44" i="27" s="1"/>
  <c r="BM44" i="27" s="1"/>
  <c r="BN44" i="27" s="1"/>
  <c r="AW44" i="27" s="1"/>
  <c r="K44" i="16" s="1"/>
  <c r="H47" i="16" s="1"/>
  <c r="BT31" i="27"/>
  <c r="BU31" i="27" s="1"/>
  <c r="CA31" i="27" s="1"/>
  <c r="CB31" i="27" s="1"/>
  <c r="CC31" i="27" s="1"/>
  <c r="BT17" i="27"/>
  <c r="BU17" i="27" s="1"/>
  <c r="CA17" i="27" s="1"/>
  <c r="CB17" i="27" s="1"/>
  <c r="CC17" i="27" s="1"/>
  <c r="BT37" i="27"/>
  <c r="BU37" i="27" s="1"/>
  <c r="CA37" i="27" s="1"/>
  <c r="CB37" i="27" s="1"/>
  <c r="BT19" i="27"/>
  <c r="BU19" i="27" s="1"/>
  <c r="CA19" i="27" s="1"/>
  <c r="CB19" i="27" s="1"/>
  <c r="CC19" i="27" s="1"/>
  <c r="BT16" i="27"/>
  <c r="BU16" i="27" s="1"/>
  <c r="CA16" i="27" s="1"/>
  <c r="CB16" i="27" s="1"/>
  <c r="BT18" i="27"/>
  <c r="BU18" i="27" s="1"/>
  <c r="CA18" i="27" s="1"/>
  <c r="CB18" i="27" s="1"/>
  <c r="CC18" i="27" s="1"/>
  <c r="BT15" i="27"/>
  <c r="BU15" i="27" s="1"/>
  <c r="CA15" i="27" s="1"/>
  <c r="CB15" i="27" s="1"/>
  <c r="BT12" i="27"/>
  <c r="BU12" i="27" s="1"/>
  <c r="CA12" i="27" s="1"/>
  <c r="CB12" i="27" s="1"/>
  <c r="CC12" i="27" s="1"/>
  <c r="BT11" i="27"/>
  <c r="BU11" i="27" s="1"/>
  <c r="CA11" i="27" s="1"/>
  <c r="CB11" i="27" s="1"/>
  <c r="CC11" i="27" s="1"/>
  <c r="BT35" i="27"/>
  <c r="BU35" i="27" s="1"/>
  <c r="CA35" i="27" s="1"/>
  <c r="CB35" i="27" s="1"/>
  <c r="CC35" i="27" s="1"/>
  <c r="BT20" i="27"/>
  <c r="BU20" i="27" s="1"/>
  <c r="CA20" i="27" s="1"/>
  <c r="CB20" i="27" s="1"/>
  <c r="CC20" i="27" s="1"/>
  <c r="BT14" i="27"/>
  <c r="BU14" i="27" s="1"/>
  <c r="CA14" i="27" s="1"/>
  <c r="CB14" i="27" s="1"/>
  <c r="CC14" i="27" s="1"/>
  <c r="BT21" i="27"/>
  <c r="BU21" i="27" s="1"/>
  <c r="CA21" i="27" s="1"/>
  <c r="CB21" i="27" s="1"/>
  <c r="CC21" i="27" s="1"/>
  <c r="BT28" i="27"/>
  <c r="BU28" i="27" s="1"/>
  <c r="CA28" i="27" s="1"/>
  <c r="CB28" i="27" s="1"/>
  <c r="CC28" i="27" s="1"/>
  <c r="BT10" i="27"/>
  <c r="BU10" i="27" s="1"/>
  <c r="CA10" i="27" s="1"/>
  <c r="CB10" i="27" s="1"/>
  <c r="CC10" i="27" s="1"/>
  <c r="BT30" i="27"/>
  <c r="BU30" i="27" s="1"/>
  <c r="CA30" i="27" s="1"/>
  <c r="CB30" i="27" s="1"/>
  <c r="BT29" i="27"/>
  <c r="BU29" i="27" s="1"/>
  <c r="CA29" i="27" s="1"/>
  <c r="CB29" i="27" s="1"/>
  <c r="BT23" i="27"/>
  <c r="BU23" i="27" s="1"/>
  <c r="CA23" i="27" s="1"/>
  <c r="CB23" i="27" s="1"/>
  <c r="BT26" i="27"/>
  <c r="BU26" i="27" s="1"/>
  <c r="CA26" i="27" s="1"/>
  <c r="CB26" i="27" s="1"/>
  <c r="CC26" i="27" s="1"/>
  <c r="BT24" i="27"/>
  <c r="BU24" i="27" s="1"/>
  <c r="CA24" i="27" s="1"/>
  <c r="CB24" i="27" s="1"/>
  <c r="CC24" i="27" s="1"/>
  <c r="BT38" i="27"/>
  <c r="BU38" i="27" s="1"/>
  <c r="CA38" i="27" s="1"/>
  <c r="CB38" i="27" s="1"/>
  <c r="CC38" i="27" s="1"/>
  <c r="BT22" i="27"/>
  <c r="BU22" i="27" s="1"/>
  <c r="CA22" i="27" s="1"/>
  <c r="CB22" i="27" s="1"/>
  <c r="BT36" i="27"/>
  <c r="BU36" i="27" s="1"/>
  <c r="CA36" i="27" s="1"/>
  <c r="CB36" i="27" s="1"/>
  <c r="BT25" i="27"/>
  <c r="BU25" i="27" s="1"/>
  <c r="CA25" i="27" s="1"/>
  <c r="CB25" i="27" s="1"/>
  <c r="CC25" i="27" s="1"/>
  <c r="BT13" i="27"/>
  <c r="BU13" i="27" s="1"/>
  <c r="CA13" i="27" s="1"/>
  <c r="CB13" i="27" s="1"/>
  <c r="CC13" i="27" s="1"/>
  <c r="BT34" i="27"/>
  <c r="BU34" i="27" s="1"/>
  <c r="CA34" i="27" s="1"/>
  <c r="CB34" i="27" s="1"/>
  <c r="CC34" i="27" s="1"/>
</calcChain>
</file>

<file path=xl/comments1.xml><?xml version="1.0" encoding="utf-8"?>
<comments xmlns="http://schemas.openxmlformats.org/spreadsheetml/2006/main">
  <authors>
    <author>Ingrid Bovbjerg</author>
    <author>Niels K. Grann</author>
    <author>Niels.Grann@lejre.dk</author>
  </authors>
  <commentList>
    <comment ref="H1" authorId="0">
      <text>
        <r>
          <rPr>
            <sz val="12"/>
            <color indexed="81"/>
            <rFont val="Tahoma"/>
            <family val="2"/>
          </rPr>
          <t>Skriv dit navn</t>
        </r>
      </text>
    </comment>
    <comment ref="H2" authorId="0">
      <text>
        <r>
          <rPr>
            <sz val="12"/>
            <color indexed="81"/>
            <rFont val="Tahoma"/>
            <family val="2"/>
          </rPr>
          <t>Skriv dit CPR-NR</t>
        </r>
      </text>
    </comment>
    <comment ref="H3" authorId="0">
      <text>
        <r>
          <rPr>
            <sz val="12"/>
            <color indexed="81"/>
            <rFont val="Tahoma"/>
            <family val="2"/>
          </rPr>
          <t>Skriv din afdeling</t>
        </r>
      </text>
    </comment>
    <comment ref="H4" authorId="1">
      <text>
        <r>
          <rPr>
            <sz val="12"/>
            <color indexed="81"/>
            <rFont val="Tahoma"/>
            <family val="2"/>
          </rPr>
          <t>0 = Forud
1 = Bagud</t>
        </r>
      </text>
    </comment>
    <comment ref="A8" authorId="0">
      <text>
        <r>
          <rPr>
            <sz val="10"/>
            <color indexed="81"/>
            <rFont val="Tahoma"/>
            <family val="2"/>
          </rPr>
          <t>Skriv antal rest ferietimer</t>
        </r>
      </text>
    </comment>
    <comment ref="H8" authorId="0">
      <text>
        <r>
          <rPr>
            <sz val="10"/>
            <color indexed="81"/>
            <rFont val="Tahoma"/>
            <family val="2"/>
          </rPr>
          <t>Skriv antal rest ferietimer</t>
        </r>
      </text>
    </comment>
    <comment ref="L8" authorId="0">
      <text>
        <r>
          <rPr>
            <sz val="12"/>
            <color indexed="81"/>
            <rFont val="Tahoma"/>
            <family val="2"/>
          </rPr>
          <t>Skriv saldo for optjeningsåret</t>
        </r>
      </text>
    </comment>
    <comment ref="N8" authorId="0">
      <text>
        <r>
          <rPr>
            <sz val="12"/>
            <color indexed="81"/>
            <rFont val="Tahoma"/>
            <family val="2"/>
          </rPr>
          <t>Skriv saldo for optjeningsåret</t>
        </r>
      </text>
    </comment>
    <comment ref="A18" authorId="0">
      <text>
        <r>
          <rPr>
            <sz val="10"/>
            <color indexed="81"/>
            <rFont val="Tahoma"/>
            <family val="2"/>
          </rPr>
          <t>Skriv saldo for optjeningsåret</t>
        </r>
      </text>
    </comment>
    <comment ref="H18" authorId="0">
      <text>
        <r>
          <rPr>
            <sz val="10"/>
            <color indexed="81"/>
            <rFont val="Tahoma"/>
            <family val="2"/>
          </rPr>
          <t>Skriv saldo for optjeningsåret</t>
        </r>
      </text>
    </comment>
    <comment ref="L18" authorId="0">
      <text>
        <r>
          <rPr>
            <sz val="10"/>
            <color indexed="81"/>
            <rFont val="Tahoma"/>
            <family val="2"/>
          </rPr>
          <t>Skriv saldo for optjeningsåret.</t>
        </r>
        <r>
          <rPr>
            <b/>
            <sz val="10"/>
            <color indexed="81"/>
            <rFont val="Tahoma"/>
            <family val="2"/>
          </rPr>
          <t xml:space="preserve">
Deltidsansatte skal selv korrigere saldoen</t>
        </r>
      </text>
    </comment>
    <comment ref="AD19" authorId="2">
      <text>
        <r>
          <rPr>
            <sz val="10"/>
            <color indexed="81"/>
            <rFont val="Tahoma"/>
            <family val="2"/>
          </rPr>
          <t xml:space="preserve">Skriv slutsaldo fra 2012 svarende til saldoen på det gamle tidsreg.skema (i 1/60 dele - timer og minutter fx 5,25 = 5 timer og 25 min). 
NB: Hvis du skriver et HELT beløb uden minuttal, vil saldoen ud for de enkelte dage optræde i forkert format (fx. 4,60 i stedet for 5,00) indtil man skriver sine nye timer og minutter fra 2. januar. </t>
        </r>
      </text>
    </comment>
  </commentList>
</comments>
</file>

<file path=xl/comments10.xml><?xml version="1.0" encoding="utf-8"?>
<comments xmlns="http://schemas.openxmlformats.org/spreadsheetml/2006/main">
  <authors>
    <author>Niels.Grann@lejre.dk</author>
  </authors>
  <commentList>
    <comment ref="A7" authorId="0">
      <text>
        <r>
          <rPr>
            <b/>
            <sz val="12"/>
            <color indexed="81"/>
            <rFont val="Tahoma"/>
            <family val="2"/>
          </rPr>
          <t>Her angives antal timer, såfremt dagens normtid afviger fra ugeskemaet.</t>
        </r>
      </text>
    </comment>
  </commentList>
</comments>
</file>

<file path=xl/comments11.xml><?xml version="1.0" encoding="utf-8"?>
<comments xmlns="http://schemas.openxmlformats.org/spreadsheetml/2006/main">
  <authors>
    <author>Niels.Grann@lejre.dk</author>
  </authors>
  <commentList>
    <comment ref="A7" authorId="0">
      <text>
        <r>
          <rPr>
            <b/>
            <sz val="12"/>
            <color indexed="81"/>
            <rFont val="Tahoma"/>
            <family val="2"/>
          </rPr>
          <t>Her angives antal timer, såfremt dagens normtid afviger fra ugeskemaet.</t>
        </r>
      </text>
    </comment>
  </commentList>
</comments>
</file>

<file path=xl/comments12.xml><?xml version="1.0" encoding="utf-8"?>
<comments xmlns="http://schemas.openxmlformats.org/spreadsheetml/2006/main">
  <authors>
    <author>Niels.Grann@lejre.dk</author>
  </authors>
  <commentList>
    <comment ref="A7" authorId="0">
      <text>
        <r>
          <rPr>
            <b/>
            <sz val="12"/>
            <color indexed="81"/>
            <rFont val="Tahoma"/>
            <family val="2"/>
          </rPr>
          <t>Her angives antal timer, såfremt dagens normtid afviger fra ugeskemaet.</t>
        </r>
      </text>
    </comment>
  </commentList>
</comments>
</file>

<file path=xl/comments13.xml><?xml version="1.0" encoding="utf-8"?>
<comments xmlns="http://schemas.openxmlformats.org/spreadsheetml/2006/main">
  <authors>
    <author>Niels.Grann@lejre.dk</author>
  </authors>
  <commentList>
    <comment ref="A7" authorId="0">
      <text>
        <r>
          <rPr>
            <b/>
            <sz val="12"/>
            <color indexed="81"/>
            <rFont val="Tahoma"/>
            <family val="2"/>
          </rPr>
          <t>Her angives antal timer, såfremt dagens normtid afviger fra ugeskemaet.</t>
        </r>
      </text>
    </comment>
  </commentList>
</comments>
</file>

<file path=xl/comments14.xml><?xml version="1.0" encoding="utf-8"?>
<comments xmlns="http://schemas.openxmlformats.org/spreadsheetml/2006/main">
  <authors>
    <author>nig</author>
  </authors>
  <commentList>
    <comment ref="B4" authorId="0">
      <text>
        <r>
          <rPr>
            <b/>
            <sz val="8"/>
            <color indexed="81"/>
            <rFont val="Tahoma"/>
            <family val="2"/>
          </rPr>
          <t xml:space="preserve">Ændres i takt med kalenderen!!
(tallet er dogsat til 12 her og nu, af hensyn til testen)
</t>
        </r>
      </text>
    </comment>
  </commentList>
</comments>
</file>

<file path=xl/comments2.xml><?xml version="1.0" encoding="utf-8"?>
<comments xmlns="http://schemas.openxmlformats.org/spreadsheetml/2006/main">
  <authors>
    <author>Niels.Grann@lejre.dk</author>
  </authors>
  <commentList>
    <comment ref="A7" authorId="0">
      <text>
        <r>
          <rPr>
            <b/>
            <sz val="12"/>
            <color indexed="81"/>
            <rFont val="Tahoma"/>
            <family val="2"/>
          </rPr>
          <t>Her angives antal timer, såfremt dagens normtid afviger fra ugeskemaet.</t>
        </r>
      </text>
    </comment>
  </commentList>
</comments>
</file>

<file path=xl/comments3.xml><?xml version="1.0" encoding="utf-8"?>
<comments xmlns="http://schemas.openxmlformats.org/spreadsheetml/2006/main">
  <authors>
    <author>Niels.Grann@lejre.dk</author>
  </authors>
  <commentList>
    <comment ref="A7" authorId="0">
      <text>
        <r>
          <rPr>
            <b/>
            <sz val="12"/>
            <color indexed="81"/>
            <rFont val="Tahoma"/>
            <family val="2"/>
          </rPr>
          <t>Her angives antal timer, såfremt dagens normtid afviger fra ugeskemaet.</t>
        </r>
      </text>
    </comment>
  </commentList>
</comments>
</file>

<file path=xl/comments4.xml><?xml version="1.0" encoding="utf-8"?>
<comments xmlns="http://schemas.openxmlformats.org/spreadsheetml/2006/main">
  <authors>
    <author>Niels.Grann@lejre.dk</author>
  </authors>
  <commentList>
    <comment ref="A7" authorId="0">
      <text>
        <r>
          <rPr>
            <b/>
            <sz val="12"/>
            <color indexed="81"/>
            <rFont val="Tahoma"/>
            <family val="2"/>
          </rPr>
          <t>Her angives antal timer, såfremt dagens normtid afviger fra ugeskemaet.</t>
        </r>
      </text>
    </comment>
  </commentList>
</comments>
</file>

<file path=xl/comments5.xml><?xml version="1.0" encoding="utf-8"?>
<comments xmlns="http://schemas.openxmlformats.org/spreadsheetml/2006/main">
  <authors>
    <author>Niels.Grann@lejre.dk</author>
  </authors>
  <commentList>
    <comment ref="A7" authorId="0">
      <text>
        <r>
          <rPr>
            <b/>
            <sz val="12"/>
            <color indexed="81"/>
            <rFont val="Tahoma"/>
            <family val="2"/>
          </rPr>
          <t>Her angives antal timer, såfremt dagens normtid afviger fra ugeskemaet.</t>
        </r>
      </text>
    </comment>
  </commentList>
</comments>
</file>

<file path=xl/comments6.xml><?xml version="1.0" encoding="utf-8"?>
<comments xmlns="http://schemas.openxmlformats.org/spreadsheetml/2006/main">
  <authors>
    <author>Niels.Grann@lejre.dk</author>
  </authors>
  <commentList>
    <comment ref="A7" authorId="0">
      <text>
        <r>
          <rPr>
            <b/>
            <sz val="12"/>
            <color indexed="81"/>
            <rFont val="Tahoma"/>
            <family val="2"/>
          </rPr>
          <t>Her angives antal timer, såfremt dagens normtid afviger fra ugeskemaet.</t>
        </r>
      </text>
    </comment>
  </commentList>
</comments>
</file>

<file path=xl/comments7.xml><?xml version="1.0" encoding="utf-8"?>
<comments xmlns="http://schemas.openxmlformats.org/spreadsheetml/2006/main">
  <authors>
    <author>Niels.Grann@lejre.dk</author>
  </authors>
  <commentList>
    <comment ref="A7" authorId="0">
      <text>
        <r>
          <rPr>
            <b/>
            <sz val="12"/>
            <color indexed="81"/>
            <rFont val="Tahoma"/>
            <family val="2"/>
          </rPr>
          <t>Her angives antal timer, såfremt dagens normtid afviger fra ugeskemaet.</t>
        </r>
      </text>
    </comment>
  </commentList>
</comments>
</file>

<file path=xl/comments8.xml><?xml version="1.0" encoding="utf-8"?>
<comments xmlns="http://schemas.openxmlformats.org/spreadsheetml/2006/main">
  <authors>
    <author>Niels.Grann@lejre.dk</author>
  </authors>
  <commentList>
    <comment ref="A7" authorId="0">
      <text>
        <r>
          <rPr>
            <b/>
            <sz val="12"/>
            <color indexed="81"/>
            <rFont val="Tahoma"/>
            <family val="2"/>
          </rPr>
          <t>Her angives antal timer, såfremt dagens normtid afviger fra ugeskemaet.</t>
        </r>
      </text>
    </comment>
  </commentList>
</comments>
</file>

<file path=xl/comments9.xml><?xml version="1.0" encoding="utf-8"?>
<comments xmlns="http://schemas.openxmlformats.org/spreadsheetml/2006/main">
  <authors>
    <author>Niels.Grann@lejre.dk</author>
  </authors>
  <commentList>
    <comment ref="A7" authorId="0">
      <text>
        <r>
          <rPr>
            <b/>
            <sz val="12"/>
            <color indexed="81"/>
            <rFont val="Tahoma"/>
            <family val="2"/>
          </rPr>
          <t>Her angives antal timer, såfremt dagens normtid afviger fra ugeskemaet.</t>
        </r>
      </text>
    </comment>
  </commentList>
</comments>
</file>

<file path=xl/sharedStrings.xml><?xml version="1.0" encoding="utf-8"?>
<sst xmlns="http://schemas.openxmlformats.org/spreadsheetml/2006/main" count="482" uniqueCount="120">
  <si>
    <t>Timer</t>
  </si>
  <si>
    <t>I alt</t>
  </si>
  <si>
    <t>Dag</t>
  </si>
  <si>
    <t>Fra kl.</t>
  </si>
  <si>
    <t>Til kl.</t>
  </si>
  <si>
    <t>Navn:</t>
  </si>
  <si>
    <t>Personnummer:</t>
  </si>
  <si>
    <t>Lønperiode:</t>
  </si>
  <si>
    <t>Lønsystem:</t>
  </si>
  <si>
    <t>Afdeling:</t>
  </si>
  <si>
    <t>Start saldo:</t>
  </si>
  <si>
    <t>+ Timer:</t>
  </si>
  <si>
    <t xml:space="preserve"> - Normtid:</t>
  </si>
  <si>
    <t>= Slut saldo:</t>
  </si>
  <si>
    <t>Generelt</t>
  </si>
  <si>
    <t>Kalenderår</t>
  </si>
  <si>
    <t>Startdato</t>
  </si>
  <si>
    <t>Startsaldo</t>
  </si>
  <si>
    <t>Normtid</t>
  </si>
  <si>
    <t>Slutsaldo</t>
  </si>
  <si>
    <t xml:space="preserve">  Januar</t>
  </si>
  <si>
    <t xml:space="preserve">  Februar</t>
  </si>
  <si>
    <t xml:space="preserve">  Marts</t>
  </si>
  <si>
    <t xml:space="preserve">  April</t>
  </si>
  <si>
    <t xml:space="preserve">  Maj</t>
  </si>
  <si>
    <t xml:space="preserve">  Juni</t>
  </si>
  <si>
    <t xml:space="preserve">  Juli</t>
  </si>
  <si>
    <t xml:space="preserve">  August</t>
  </si>
  <si>
    <t xml:space="preserve">  September</t>
  </si>
  <si>
    <t xml:space="preserve">  Oktober</t>
  </si>
  <si>
    <t xml:space="preserve">  November</t>
  </si>
  <si>
    <t xml:space="preserve">  December</t>
  </si>
  <si>
    <t>Indev. måned</t>
  </si>
  <si>
    <t>Slutdato</t>
  </si>
  <si>
    <t>Årsnorm - overskud/underskud</t>
  </si>
  <si>
    <t>Overført til næste år</t>
  </si>
  <si>
    <t>Feriefridagstimer til udbetaling</t>
  </si>
  <si>
    <t>Alle faner</t>
  </si>
  <si>
    <t>Måneds fanerne</t>
  </si>
  <si>
    <t>Resumé fanen</t>
  </si>
  <si>
    <t>Fra/til kl.</t>
  </si>
  <si>
    <t>J</t>
  </si>
  <si>
    <t>Udb. 6. f.uge</t>
  </si>
  <si>
    <t>Udbetaling af 6. ferieuge</t>
  </si>
  <si>
    <t>Restferie …</t>
  </si>
  <si>
    <t>Generel information</t>
  </si>
  <si>
    <t>Udbetalt</t>
  </si>
  <si>
    <t xml:space="preserve">  Overført fra sidste år</t>
  </si>
  <si>
    <t>Overført til næste år iflg. aftale</t>
  </si>
  <si>
    <t xml:space="preserve">  Overført ferie iflg. skriftlig aftale</t>
  </si>
  <si>
    <t>Rest 6 f.uge…</t>
  </si>
  <si>
    <t>Nr</t>
  </si>
  <si>
    <t>Mandag</t>
  </si>
  <si>
    <t>Tirsdag</t>
  </si>
  <si>
    <t>Onsdag</t>
  </si>
  <si>
    <t>Torsdag</t>
  </si>
  <si>
    <t>Fredag</t>
  </si>
  <si>
    <t/>
  </si>
  <si>
    <t>H.dag</t>
  </si>
  <si>
    <t>Ugeskema</t>
  </si>
  <si>
    <t>Her angives hvordan arbejdsugens timer er fordelt på de enkelte dage.</t>
  </si>
  <si>
    <t>Saldo</t>
  </si>
  <si>
    <t>Nytårsdag</t>
  </si>
  <si>
    <t>Lukkedag</t>
  </si>
  <si>
    <t>Grundlovsdag</t>
  </si>
  <si>
    <t>Juleaften</t>
  </si>
  <si>
    <t>Juledag</t>
  </si>
  <si>
    <t>Nytårsaften</t>
  </si>
  <si>
    <t>6. ferieuge- regnkab - til eget brug</t>
  </si>
  <si>
    <t>Timer/min.</t>
  </si>
  <si>
    <t>Saldo
Timer/min</t>
  </si>
  <si>
    <t>Lars Larsen</t>
  </si>
  <si>
    <t>010101-0101</t>
  </si>
  <si>
    <t>SKAT</t>
  </si>
  <si>
    <t>Hjemmearbejde saldo timer</t>
  </si>
  <si>
    <t>Disse kolonner udfyldes til eget brug og regulerer IKKE kolonnerne "fra og til".</t>
  </si>
  <si>
    <t>Ferieregnskab total</t>
  </si>
  <si>
    <t>Denne kolonne tæller med i saldo kolonnen</t>
  </si>
  <si>
    <t>6. ferieuge- regnskab - til eget brug</t>
  </si>
  <si>
    <t>Lægebesøg</t>
  </si>
  <si>
    <t>Sygdom, barns 1. og 2. sygedag m.v.</t>
  </si>
  <si>
    <t xml:space="preserve">I tilfælde af lægebesøg, hvor behandling uden for arbejdstid er udelukket, kan tekst vedrørende fraværet skrives i kolonnen "Evt. bemærkninger til eget brug". </t>
  </si>
  <si>
    <t>Deltidsansatte kan kontakte deres nærmeste leder for at få oplyst korrekte saldi til overførsel. Gælder også ved ændring af normtiden/beskæftigelsesgraden.</t>
  </si>
  <si>
    <t>60minutter</t>
  </si>
  <si>
    <t>Laves om til</t>
  </si>
  <si>
    <t>Denne kolonne tæller med i saldo kolonnen (TT komma MM)</t>
  </si>
  <si>
    <t>Test</t>
  </si>
  <si>
    <t>- Normtid</t>
  </si>
  <si>
    <t xml:space="preserve"> Ferieregnskab total</t>
  </si>
  <si>
    <t>"ur" timer</t>
  </si>
  <si>
    <t>Arbejde hjemme, weekendarbejde, arbejde på helligdage m..m</t>
  </si>
  <si>
    <t xml:space="preserve">Arbejdede hjemme </t>
  </si>
  <si>
    <t>Ferieafholdelse</t>
  </si>
  <si>
    <t>Helligdage</t>
  </si>
  <si>
    <t xml:space="preserve">Ved helligdage jf. kalenderen, skal der ikke indtastes klokkeslæt i fra/til kl. </t>
  </si>
  <si>
    <t>1. maj</t>
  </si>
  <si>
    <t>Arbejdet tid</t>
  </si>
  <si>
    <t>Der kan kun indtastes i de lyseblå, orange og gule felter.</t>
  </si>
  <si>
    <r>
      <t xml:space="preserve">Når den 6. ferieuge udbetales, såfremt andet ikke er aftalt, skrives antal timer i kolonnen </t>
    </r>
    <r>
      <rPr>
        <b/>
        <sz val="12"/>
        <rFont val="Arial"/>
        <family val="2"/>
      </rPr>
      <t>Udb. 6. f.uge</t>
    </r>
    <r>
      <rPr>
        <sz val="12"/>
        <rFont val="Arial"/>
        <family val="2"/>
      </rPr>
      <t xml:space="preserve"> i den aktuelle måned (fanebladet "resume" kolonne F.)</t>
    </r>
  </si>
  <si>
    <t xml:space="preserve"> </t>
  </si>
  <si>
    <t>Evt. arbejde udenfor normal arbejdstid skal indtastes i den orange kolonne "arbejdede hjemme". Den daglige saldo (lilla kolonne) vil efterfølgende først være opdateret ved førstkommende arbejdsdag. Tastes i 1/60 dele</t>
  </si>
  <si>
    <r>
      <t xml:space="preserve">Fra og til klokkeslæt skal indtastet i formatet </t>
    </r>
    <r>
      <rPr>
        <b/>
        <sz val="12"/>
        <rFont val="Arial"/>
        <family val="2"/>
      </rPr>
      <t>TT:MM</t>
    </r>
    <r>
      <rPr>
        <sz val="12"/>
        <rFont val="Arial"/>
        <family val="2"/>
      </rPr>
      <t xml:space="preserve"> (timer og minutter)
</t>
    </r>
    <r>
      <rPr>
        <b/>
        <sz val="12"/>
        <rFont val="Arial"/>
        <family val="2"/>
      </rPr>
      <t>HUSK kolon (:) mellem timer og minutter, og at minutter  ALTID skal indtastet med 2 cifre</t>
    </r>
    <r>
      <rPr>
        <sz val="12"/>
        <rFont val="Arial"/>
        <family val="2"/>
      </rPr>
      <t>. (1/60 del - klokketimer)</t>
    </r>
  </si>
  <si>
    <t>Regnearket består af 14 faner:
- 1 fane med resume
- 1 fane med vejledning
- 1 fane pr. måned                                                                                  
- 1 fane vedr. nøgletal</t>
  </si>
  <si>
    <t>2.påskedag</t>
  </si>
  <si>
    <t>2. Juledag</t>
  </si>
  <si>
    <t>Kr.Himmelfart</t>
  </si>
  <si>
    <t>lukkedag</t>
  </si>
  <si>
    <t>2. pinsedag</t>
  </si>
  <si>
    <r>
      <t>Felterne "til" og "fra" udfyldes svarende til en almindelig dag fx (</t>
    </r>
    <r>
      <rPr>
        <b/>
        <sz val="12"/>
        <rFont val="Arial"/>
        <family val="2"/>
      </rPr>
      <t>8:21 til 15:25 for en tirsdag</t>
    </r>
    <r>
      <rPr>
        <sz val="12"/>
        <rFont val="Arial"/>
        <family val="2"/>
      </rPr>
      <t>), således at saldoen i kolonnen til højre forbliver uændret. Herefter skrives i kolonnen "Evt. bemærkninger til eget brug"  f.eks. "ferie", "lukkedag" m.v. så man kan huske årsagen til fraværet.
Kolonnerne "ferieregnskab, 6-uge og hjemmearbejde" kan udfyldes til eget brug, som herefter opsummeres under fanen "resume".</t>
    </r>
  </si>
  <si>
    <r>
      <t xml:space="preserve">Felterne "til" og "fra" udfyldes svarende til en almindelig dag fx </t>
    </r>
    <r>
      <rPr>
        <b/>
        <sz val="12"/>
        <rFont val="Arial"/>
        <family val="2"/>
      </rPr>
      <t>(8:21 til 15:25 for en tirsdag)</t>
    </r>
    <r>
      <rPr>
        <sz val="12"/>
        <rFont val="Arial"/>
        <family val="2"/>
      </rPr>
      <t>, således at saldoen i kolonnen til højre forbliver uændret. Herefter skrives i kolonnen "Evt. bemærkninger til eget brug" f.eks. "sygdom", "barns 1 sygedag". eller "barns 2. sygedag" så man kan huske årsagen til fraværet/som dokumentation.</t>
    </r>
  </si>
  <si>
    <t>Tidsresumé:</t>
  </si>
  <si>
    <t>Skriv tidsregistrerings-slutsaldo december forrige år</t>
  </si>
  <si>
    <t xml:space="preserve">Afholdelse af fleksibel arbejdstid </t>
  </si>
  <si>
    <r>
      <t>Felterne "til" og "fra" udfyldes med det samme tidspunkt fx (</t>
    </r>
    <r>
      <rPr>
        <b/>
        <sz val="12"/>
        <rFont val="Arial"/>
        <family val="2"/>
      </rPr>
      <t>8:21 til 8:21</t>
    </r>
    <r>
      <rPr>
        <sz val="12"/>
        <rFont val="Arial"/>
        <family val="2"/>
      </rPr>
      <t xml:space="preserve">), således at saldoen i kolonnen ændres svarende til den afholdte fleksible arbejdstid. Herefter skrives i kolonnen "Evt. bemærkninger til eget brug" f.eks. "fleksibel arbejdsdag", så man kan huske årsagen til fraværet.
</t>
    </r>
  </si>
  <si>
    <t>Fleksibel arbejdstidsmeddelelse</t>
  </si>
  <si>
    <t>Bemærkninger</t>
  </si>
  <si>
    <t>Ferieregnskab - til eget brug</t>
  </si>
  <si>
    <t>Bemærkning</t>
  </si>
  <si>
    <t>helligdag</t>
  </si>
  <si>
    <r>
      <t xml:space="preserve">Regnearket for  2013 er i lighed med arket for 2012 forudfyldt med normtider, hvilket betyder, at man blot kan indtaste afvigelser. Hvis man hellere vil have et blankt regneark at taste i, kan man blot slette tiderne i til og fra-kolonnerne.
Husk at vælge "MED MAKROER" i den dialogboks du får op, når du åbner regnearket.
Der er ikke sket nogen videre ændringer i forhold til regnearket for 2012, men det kan altid anbefales, at man lige løber fanen med vejledningen igennem eller bruger fanen som opslagsværk, hvis der er nogle af indtastningerne, som ikke lige ser rigtige ud.
Startsaldoen indtastes på resumé-fanen som vanligt. Regnearket er fortsat i tresindstyvendedele i stedet for hundrededele, hvilket skulle gøre det nemmere at beregne arbejdstiden.  
Deltidsansatte skal som vanligt ændre i ugeskeskemaet på resuméfanen.
Spørgsmål til regnearket m.v. besvares af  Niels Ingstrup, Lars Kragh Hansen og Pernille Carlsen i ØC.  Spørgsmål omkring selve åbningstiderne og fortolkning af "fleks og fleksibilitet" rettes til personalejuristerne i CLP.
</t>
    </r>
    <r>
      <rPr>
        <b/>
        <sz val="12"/>
        <rFont val="Arial"/>
        <family val="2"/>
      </rPr>
      <t>Der kan forekomme lidt unøjagtigheder i sammentællingerne i saldoen til højre. Der er taget højde for det ved de foretrykte timetal. Evt. små-afvigelser må noteres ned eller der må tillægges/tratrækkes et minut nu og da hvis saldoen "skrider" lidt (måske 1-2 min. pr. måned). Der kan ikke lægges flere ressourcer  i arbejdet med tidsregistreringsskemaet, da det er valgfrit at anvende og kun skal fungere som et hjælperedskab. 
Evt. fejl/difference i ferieregnskabet på fanen "resume" vil ikke blive rettet centralt.
De foretrykte tider er i såkaldt "rådhustid". Hvis der ønskes andre foretrykte time- og minuttal må de selv indtastes og kopieres ned gennem skemaet/fanerne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</si>
</sst>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 ##\ ##\-####"/>
    <numFmt numFmtId="166" formatCode="mmmm\ yyyy"/>
    <numFmt numFmtId="167" formatCode="dd\.mm\.yyyy"/>
    <numFmt numFmtId="168" formatCode="0.0000"/>
  </numFmts>
  <fonts count="45" x14ac:knownFonts="1">
    <font>
      <sz val="10"/>
      <name val="Arial"/>
    </font>
    <font>
      <sz val="10"/>
      <name val="Arial"/>
    </font>
    <font>
      <b/>
      <sz val="10"/>
      <name val="Arial"/>
      <family val="2"/>
    </font>
    <font>
      <b/>
      <sz val="14"/>
      <name val="Arial"/>
      <family val="2"/>
    </font>
    <font>
      <sz val="12"/>
      <name val="Arial"/>
      <family val="2"/>
    </font>
    <font>
      <u/>
      <sz val="12"/>
      <name val="Arial"/>
      <family val="2"/>
    </font>
    <font>
      <b/>
      <sz val="12"/>
      <name val="Arial"/>
      <family val="2"/>
    </font>
    <font>
      <b/>
      <sz val="11"/>
      <name val="Arial"/>
      <family val="2"/>
    </font>
    <font>
      <sz val="10"/>
      <name val="Arial"/>
      <family val="2"/>
    </font>
    <font>
      <sz val="11"/>
      <name val="Arial"/>
      <family val="2"/>
    </font>
    <font>
      <b/>
      <sz val="12"/>
      <color indexed="81"/>
      <name val="Tahoma"/>
      <family val="2"/>
    </font>
    <font>
      <sz val="12"/>
      <color indexed="81"/>
      <name val="Tahoma"/>
      <family val="2"/>
    </font>
    <font>
      <b/>
      <sz val="20"/>
      <name val="Arial"/>
      <family val="2"/>
    </font>
    <font>
      <b/>
      <sz val="20"/>
      <color indexed="9"/>
      <name val="Arial"/>
      <family val="2"/>
    </font>
    <font>
      <sz val="9"/>
      <name val="Arial"/>
      <family val="2"/>
    </font>
    <font>
      <b/>
      <sz val="9"/>
      <name val="Arial"/>
      <family val="2"/>
    </font>
    <font>
      <b/>
      <sz val="10"/>
      <color indexed="81"/>
      <name val="Tahoma"/>
      <family val="2"/>
    </font>
    <font>
      <b/>
      <sz val="12"/>
      <color indexed="9"/>
      <name val="Arial"/>
      <family val="2"/>
    </font>
    <font>
      <sz val="10"/>
      <color indexed="81"/>
      <name val="Tahoma"/>
      <family val="2"/>
    </font>
    <font>
      <sz val="10"/>
      <color indexed="10"/>
      <name val="Arial"/>
      <family val="2"/>
    </font>
    <font>
      <b/>
      <sz val="11"/>
      <color indexed="10"/>
      <name val="Arial"/>
      <family val="2"/>
    </font>
    <font>
      <b/>
      <sz val="10"/>
      <color indexed="10"/>
      <name val="Arial"/>
      <family val="2"/>
    </font>
    <font>
      <sz val="11"/>
      <color indexed="10"/>
      <name val="Arial"/>
      <family val="2"/>
    </font>
    <font>
      <b/>
      <sz val="11"/>
      <color indexed="8"/>
      <name val="Arial"/>
      <family val="2"/>
    </font>
    <font>
      <b/>
      <sz val="8"/>
      <color indexed="81"/>
      <name val="Tahoma"/>
      <family val="2"/>
    </font>
    <font>
      <sz val="11"/>
      <name val="Arial"/>
      <family val="2"/>
    </font>
    <font>
      <sz val="10"/>
      <color indexed="9"/>
      <name val="Arial"/>
      <family val="2"/>
    </font>
    <font>
      <b/>
      <sz val="11"/>
      <name val="Arial"/>
      <family val="2"/>
    </font>
    <font>
      <sz val="10"/>
      <name val="Arial"/>
      <family val="2"/>
    </font>
    <font>
      <sz val="12"/>
      <color indexed="10"/>
      <name val="Arial"/>
      <family val="2"/>
    </font>
    <font>
      <b/>
      <sz val="10"/>
      <color indexed="9"/>
      <name val="Arial"/>
      <family val="2"/>
    </font>
    <font>
      <b/>
      <sz val="11"/>
      <color indexed="10"/>
      <name val="Arial"/>
      <family val="2"/>
    </font>
    <font>
      <b/>
      <sz val="10"/>
      <name val="Arial"/>
      <family val="2"/>
    </font>
    <font>
      <b/>
      <sz val="10"/>
      <color indexed="10"/>
      <name val="Arial"/>
      <family val="2"/>
    </font>
    <font>
      <sz val="10"/>
      <color indexed="8"/>
      <name val="Arial"/>
      <family val="2"/>
    </font>
    <font>
      <sz val="11"/>
      <color indexed="8"/>
      <name val="Arial"/>
      <family val="2"/>
    </font>
    <font>
      <b/>
      <sz val="11"/>
      <color indexed="8"/>
      <name val="Arial"/>
      <family val="2"/>
    </font>
    <font>
      <sz val="10"/>
      <color indexed="8"/>
      <name val="Arial"/>
      <family val="2"/>
    </font>
    <font>
      <sz val="11"/>
      <color indexed="10"/>
      <name val="Arial"/>
      <family val="2"/>
    </font>
    <font>
      <b/>
      <sz val="14"/>
      <color indexed="10"/>
      <name val="Arial"/>
      <family val="2"/>
    </font>
    <font>
      <sz val="10"/>
      <color rgb="FFFF0000"/>
      <name val="Arial"/>
      <family val="2"/>
    </font>
    <font>
      <sz val="11"/>
      <color rgb="FFFF0000"/>
      <name val="Arial"/>
      <family val="2"/>
    </font>
    <font>
      <b/>
      <sz val="11"/>
      <color rgb="FFFF0000"/>
      <name val="Arial"/>
      <family val="2"/>
    </font>
    <font>
      <b/>
      <sz val="10"/>
      <color rgb="FFFF0000"/>
      <name val="Arial"/>
      <family val="2"/>
    </font>
    <font>
      <b/>
      <sz val="11"/>
      <color theme="1"/>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50"/>
        <bgColor indexed="64"/>
      </patternFill>
    </fill>
    <fill>
      <patternFill patternType="solid">
        <fgColor indexed="47"/>
        <bgColor indexed="64"/>
      </patternFill>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s>
  <borders count="56">
    <border>
      <left/>
      <right/>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s>
  <cellStyleXfs count="2">
    <xf numFmtId="0" fontId="0" fillId="0" borderId="0"/>
    <xf numFmtId="164" fontId="1" fillId="0" borderId="0" applyFont="0" applyFill="0" applyBorder="0" applyAlignment="0" applyProtection="0"/>
  </cellStyleXfs>
  <cellXfs count="690">
    <xf numFmtId="0" fontId="0" fillId="0" borderId="0" xfId="0"/>
    <xf numFmtId="0" fontId="4" fillId="0" borderId="0" xfId="0" applyFont="1"/>
    <xf numFmtId="0" fontId="3" fillId="0" borderId="0" xfId="0" applyFont="1" applyFill="1" applyAlignment="1">
      <alignment horizontal="center"/>
    </xf>
    <xf numFmtId="0" fontId="4" fillId="0" borderId="1" xfId="0" applyFont="1" applyBorder="1"/>
    <xf numFmtId="1" fontId="7" fillId="0" borderId="2" xfId="0" applyNumberFormat="1" applyFont="1" applyBorder="1" applyAlignment="1">
      <alignment horizontal="center"/>
    </xf>
    <xf numFmtId="2" fontId="9" fillId="0" borderId="3" xfId="0" applyNumberFormat="1" applyFont="1" applyBorder="1"/>
    <xf numFmtId="20" fontId="9" fillId="2" borderId="4" xfId="0" applyNumberFormat="1" applyFont="1" applyFill="1" applyBorder="1" applyProtection="1">
      <protection locked="0"/>
    </xf>
    <xf numFmtId="0" fontId="4" fillId="0" borderId="5" xfId="0" applyFont="1" applyBorder="1" applyAlignment="1">
      <alignment wrapText="1"/>
    </xf>
    <xf numFmtId="0" fontId="4" fillId="0" borderId="6" xfId="0" applyFont="1" applyBorder="1" applyAlignment="1">
      <alignment vertical="top"/>
    </xf>
    <xf numFmtId="0" fontId="4" fillId="0" borderId="7" xfId="0" applyFont="1" applyBorder="1" applyAlignment="1">
      <alignment vertical="top" wrapText="1"/>
    </xf>
    <xf numFmtId="0" fontId="6" fillId="0" borderId="8" xfId="0" applyFont="1" applyBorder="1" applyAlignment="1">
      <alignment horizontal="center" vertical="center"/>
    </xf>
    <xf numFmtId="0" fontId="6" fillId="0" borderId="6" xfId="0" applyFont="1" applyBorder="1" applyAlignment="1">
      <alignment vertical="top"/>
    </xf>
    <xf numFmtId="0" fontId="4" fillId="0" borderId="5"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horizontal="center" vertical="center"/>
    </xf>
    <xf numFmtId="14" fontId="0" fillId="0" borderId="0" xfId="0" applyNumberFormat="1"/>
    <xf numFmtId="14" fontId="2" fillId="0" borderId="11" xfId="0" applyNumberFormat="1" applyFont="1" applyBorder="1" applyAlignment="1">
      <alignment horizontal="center"/>
    </xf>
    <xf numFmtId="0" fontId="4" fillId="0" borderId="4" xfId="0" applyFont="1" applyFill="1" applyBorder="1"/>
    <xf numFmtId="0" fontId="5" fillId="0" borderId="4" xfId="0" applyFont="1" applyFill="1" applyBorder="1"/>
    <xf numFmtId="0" fontId="4" fillId="0" borderId="12" xfId="0" applyFont="1" applyBorder="1" applyAlignment="1"/>
    <xf numFmtId="0" fontId="2" fillId="0" borderId="0" xfId="0" applyFont="1" applyBorder="1"/>
    <xf numFmtId="2" fontId="2" fillId="0" borderId="0" xfId="0" applyNumberFormat="1" applyFont="1" applyBorder="1"/>
    <xf numFmtId="0" fontId="0" fillId="0" borderId="13" xfId="0" applyBorder="1"/>
    <xf numFmtId="0" fontId="2" fillId="0" borderId="14" xfId="0" applyFont="1" applyBorder="1"/>
    <xf numFmtId="0" fontId="0" fillId="0" borderId="12" xfId="0" applyBorder="1"/>
    <xf numFmtId="0" fontId="8" fillId="0" borderId="15" xfId="0" applyFont="1" applyBorder="1"/>
    <xf numFmtId="0" fontId="0" fillId="0" borderId="1" xfId="0" applyBorder="1"/>
    <xf numFmtId="2" fontId="2" fillId="0" borderId="12" xfId="0" applyNumberFormat="1" applyFont="1" applyBorder="1"/>
    <xf numFmtId="4" fontId="0" fillId="0" borderId="12" xfId="0" applyNumberFormat="1" applyBorder="1"/>
    <xf numFmtId="0" fontId="4" fillId="0" borderId="1" xfId="0" applyFont="1" applyBorder="1" applyAlignment="1"/>
    <xf numFmtId="0" fontId="4" fillId="0" borderId="12" xfId="0" applyFont="1" applyBorder="1"/>
    <xf numFmtId="0" fontId="6" fillId="2" borderId="12" xfId="0" applyFont="1" applyFill="1" applyBorder="1" applyAlignment="1" applyProtection="1">
      <alignment horizontal="right"/>
      <protection locked="0"/>
    </xf>
    <xf numFmtId="0" fontId="0" fillId="0" borderId="16" xfId="0" applyBorder="1"/>
    <xf numFmtId="0" fontId="2" fillId="3" borderId="8" xfId="0" applyFont="1" applyFill="1" applyBorder="1"/>
    <xf numFmtId="0" fontId="2" fillId="3" borderId="10" xfId="0" applyFont="1" applyFill="1" applyBorder="1" applyAlignment="1">
      <alignment horizontal="right"/>
    </xf>
    <xf numFmtId="0" fontId="2" fillId="3" borderId="17" xfId="0" applyFont="1" applyFill="1" applyBorder="1" applyAlignment="1">
      <alignment horizontal="right"/>
    </xf>
    <xf numFmtId="2" fontId="2" fillId="2" borderId="12" xfId="0" applyNumberFormat="1" applyFont="1" applyFill="1" applyBorder="1" applyAlignment="1" applyProtection="1">
      <alignment horizontal="right"/>
      <protection locked="0"/>
    </xf>
    <xf numFmtId="2" fontId="2" fillId="0" borderId="14" xfId="0" applyNumberFormat="1" applyFont="1" applyBorder="1"/>
    <xf numFmtId="2" fontId="2" fillId="2" borderId="15" xfId="0" applyNumberFormat="1" applyFont="1" applyFill="1" applyBorder="1" applyAlignment="1" applyProtection="1">
      <alignment horizontal="right"/>
      <protection locked="0"/>
    </xf>
    <xf numFmtId="0" fontId="6" fillId="0" borderId="6" xfId="0" applyFont="1" applyBorder="1" applyAlignment="1">
      <alignment vertical="top" wrapText="1"/>
    </xf>
    <xf numFmtId="2" fontId="8" fillId="2" borderId="16" xfId="0" applyNumberFormat="1" applyFont="1" applyFill="1" applyBorder="1" applyAlignment="1" applyProtection="1">
      <alignment horizontal="right"/>
      <protection locked="0"/>
    </xf>
    <xf numFmtId="0" fontId="2" fillId="3" borderId="8" xfId="0" applyFont="1" applyFill="1" applyBorder="1" applyAlignment="1">
      <alignment vertical="center"/>
    </xf>
    <xf numFmtId="0" fontId="2" fillId="3" borderId="17" xfId="0" applyFont="1" applyFill="1" applyBorder="1" applyAlignment="1">
      <alignment vertical="center"/>
    </xf>
    <xf numFmtId="0" fontId="4" fillId="0" borderId="0" xfId="0" applyFont="1" applyBorder="1" applyAlignment="1">
      <alignment vertical="top"/>
    </xf>
    <xf numFmtId="0" fontId="4" fillId="0" borderId="0" xfId="0" applyFont="1" applyBorder="1" applyAlignment="1">
      <alignment vertical="top" wrapText="1"/>
    </xf>
    <xf numFmtId="0" fontId="6" fillId="0" borderId="9" xfId="0" applyFont="1" applyBorder="1" applyAlignment="1">
      <alignment vertical="top"/>
    </xf>
    <xf numFmtId="0" fontId="4" fillId="0" borderId="12" xfId="0" applyFont="1" applyBorder="1" applyAlignment="1">
      <alignment horizontal="left"/>
    </xf>
    <xf numFmtId="0" fontId="2" fillId="0" borderId="15" xfId="0" applyFont="1" applyBorder="1" applyAlignment="1">
      <alignment horizontal="left"/>
    </xf>
    <xf numFmtId="0" fontId="2" fillId="0" borderId="12" xfId="0" applyFont="1" applyBorder="1" applyAlignment="1">
      <alignment horizontal="left"/>
    </xf>
    <xf numFmtId="0" fontId="8" fillId="0" borderId="12" xfId="0" applyFont="1" applyFill="1" applyBorder="1" applyAlignment="1" applyProtection="1"/>
    <xf numFmtId="165" fontId="6" fillId="0" borderId="12" xfId="0" applyNumberFormat="1" applyFont="1" applyFill="1" applyBorder="1" applyAlignment="1" applyProtection="1">
      <alignment horizontal="left"/>
    </xf>
    <xf numFmtId="2" fontId="2" fillId="2" borderId="16" xfId="0" applyNumberFormat="1" applyFont="1" applyFill="1" applyBorder="1" applyAlignment="1" applyProtection="1">
      <alignment horizontal="right"/>
      <protection locked="0"/>
    </xf>
    <xf numFmtId="0" fontId="8" fillId="0" borderId="12" xfId="0" applyFont="1" applyBorder="1"/>
    <xf numFmtId="0" fontId="2" fillId="0" borderId="13" xfId="0" applyFont="1" applyBorder="1"/>
    <xf numFmtId="2" fontId="2" fillId="0" borderId="13" xfId="0" applyNumberFormat="1" applyFont="1" applyBorder="1"/>
    <xf numFmtId="0" fontId="8" fillId="0" borderId="4" xfId="0" applyFont="1" applyBorder="1"/>
    <xf numFmtId="0" fontId="8" fillId="0" borderId="4" xfId="0" quotePrefix="1" applyFont="1" applyBorder="1"/>
    <xf numFmtId="0" fontId="8" fillId="0" borderId="2" xfId="0" applyFont="1" applyBorder="1"/>
    <xf numFmtId="0" fontId="8" fillId="0" borderId="18" xfId="0" applyFont="1" applyBorder="1"/>
    <xf numFmtId="0" fontId="8" fillId="0" borderId="19" xfId="0" applyFont="1" applyBorder="1"/>
    <xf numFmtId="0" fontId="2" fillId="0" borderId="20" xfId="0" applyFont="1" applyBorder="1" applyAlignment="1">
      <alignment horizontal="right"/>
    </xf>
    <xf numFmtId="0" fontId="2" fillId="0" borderId="21" xfId="0" applyFont="1" applyBorder="1"/>
    <xf numFmtId="0" fontId="8" fillId="0" borderId="22" xfId="0" applyFont="1" applyBorder="1"/>
    <xf numFmtId="0" fontId="8" fillId="0" borderId="23" xfId="0" quotePrefix="1" applyFont="1" applyBorder="1"/>
    <xf numFmtId="0" fontId="0" fillId="0" borderId="24" xfId="0" applyBorder="1"/>
    <xf numFmtId="0" fontId="0" fillId="2" borderId="25" xfId="0" applyFill="1" applyBorder="1" applyProtection="1">
      <protection locked="0"/>
    </xf>
    <xf numFmtId="0" fontId="0" fillId="0" borderId="2" xfId="0" applyBorder="1"/>
    <xf numFmtId="167" fontId="0" fillId="0" borderId="3" xfId="0" applyNumberFormat="1" applyBorder="1"/>
    <xf numFmtId="0" fontId="0" fillId="0" borderId="26" xfId="0" applyBorder="1"/>
    <xf numFmtId="0" fontId="0" fillId="0" borderId="27" xfId="0" applyBorder="1"/>
    <xf numFmtId="0" fontId="2" fillId="0" borderId="28" xfId="0" applyFont="1" applyBorder="1" applyAlignment="1">
      <alignment horizontal="center" vertical="center"/>
    </xf>
    <xf numFmtId="0" fontId="2" fillId="0" borderId="19" xfId="0" applyFont="1" applyBorder="1" applyAlignment="1">
      <alignment horizontal="right" vertical="center"/>
    </xf>
    <xf numFmtId="0" fontId="2" fillId="0" borderId="29" xfId="0" applyFont="1" applyBorder="1" applyAlignment="1">
      <alignment horizontal="right" vertical="center"/>
    </xf>
    <xf numFmtId="9" fontId="15" fillId="0" borderId="28" xfId="0" applyNumberFormat="1" applyFont="1" applyBorder="1" applyAlignment="1">
      <alignment horizontal="right" vertical="center"/>
    </xf>
    <xf numFmtId="0" fontId="15" fillId="0" borderId="28" xfId="0" applyFont="1" applyBorder="1" applyAlignment="1">
      <alignment horizontal="right" vertical="center"/>
    </xf>
    <xf numFmtId="0" fontId="2" fillId="0" borderId="18" xfId="0" applyFont="1" applyBorder="1" applyAlignment="1">
      <alignment horizontal="center" vertical="center"/>
    </xf>
    <xf numFmtId="2" fontId="14" fillId="0" borderId="17" xfId="0" applyNumberFormat="1" applyFont="1" applyBorder="1" applyAlignment="1">
      <alignment vertical="center"/>
    </xf>
    <xf numFmtId="2" fontId="6" fillId="0" borderId="0" xfId="0" applyNumberFormat="1" applyFont="1" applyBorder="1" applyAlignment="1">
      <alignment horizontal="center"/>
    </xf>
    <xf numFmtId="0" fontId="2" fillId="0" borderId="30" xfId="0" applyFont="1" applyBorder="1" applyAlignment="1">
      <alignment horizontal="right"/>
    </xf>
    <xf numFmtId="2" fontId="0" fillId="0" borderId="31" xfId="0" quotePrefix="1" applyNumberFormat="1" applyBorder="1"/>
    <xf numFmtId="2" fontId="2" fillId="0" borderId="9" xfId="0" quotePrefix="1" applyNumberFormat="1" applyFont="1" applyBorder="1"/>
    <xf numFmtId="0" fontId="2" fillId="0" borderId="18" xfId="0" applyFont="1" applyBorder="1" applyAlignment="1">
      <alignment horizontal="right"/>
    </xf>
    <xf numFmtId="0" fontId="2" fillId="0" borderId="29" xfId="0" applyFont="1" applyBorder="1" applyAlignment="1">
      <alignment horizontal="right"/>
    </xf>
    <xf numFmtId="2" fontId="0" fillId="2" borderId="2" xfId="0" applyNumberFormat="1" applyFill="1" applyBorder="1" applyProtection="1">
      <protection locked="0"/>
    </xf>
    <xf numFmtId="2" fontId="0" fillId="0" borderId="3" xfId="0" quotePrefix="1" applyNumberFormat="1" applyBorder="1"/>
    <xf numFmtId="2" fontId="0" fillId="2" borderId="26" xfId="0" applyNumberFormat="1" applyFill="1" applyBorder="1" applyProtection="1">
      <protection locked="0"/>
    </xf>
    <xf numFmtId="2" fontId="0" fillId="0" borderId="27" xfId="0" quotePrefix="1" applyNumberFormat="1" applyBorder="1"/>
    <xf numFmtId="2" fontId="2" fillId="0" borderId="32" xfId="0" quotePrefix="1" applyNumberFormat="1" applyFont="1" applyBorder="1"/>
    <xf numFmtId="1" fontId="7" fillId="0" borderId="26" xfId="0" applyNumberFormat="1" applyFont="1" applyBorder="1" applyAlignment="1">
      <alignment horizontal="center"/>
    </xf>
    <xf numFmtId="14" fontId="2" fillId="0" borderId="33" xfId="0" applyNumberFormat="1" applyFont="1" applyBorder="1" applyAlignment="1">
      <alignment horizontal="center"/>
    </xf>
    <xf numFmtId="0" fontId="0" fillId="0" borderId="18" xfId="0" applyBorder="1"/>
    <xf numFmtId="0" fontId="0" fillId="0" borderId="29" xfId="0" applyBorder="1"/>
    <xf numFmtId="0" fontId="0" fillId="0" borderId="30" xfId="0" applyBorder="1"/>
    <xf numFmtId="4" fontId="2" fillId="0" borderId="34" xfId="0" applyNumberFormat="1" applyFont="1" applyBorder="1" applyAlignment="1" applyProtection="1">
      <alignment horizontal="right"/>
    </xf>
    <xf numFmtId="0" fontId="4" fillId="0" borderId="0" xfId="0" applyFont="1" applyFill="1" applyBorder="1"/>
    <xf numFmtId="0" fontId="8" fillId="0" borderId="0" xfId="0" applyFont="1" applyFill="1" applyBorder="1"/>
    <xf numFmtId="0" fontId="0" fillId="0" borderId="0" xfId="0" applyFill="1" applyBorder="1"/>
    <xf numFmtId="2" fontId="9" fillId="0" borderId="0" xfId="0" applyNumberFormat="1" applyFont="1" applyFill="1" applyBorder="1" applyProtection="1">
      <protection locked="0"/>
    </xf>
    <xf numFmtId="0" fontId="6" fillId="0" borderId="35" xfId="0" applyFont="1" applyBorder="1" applyAlignment="1">
      <alignment horizontal="center" vertical="center"/>
    </xf>
    <xf numFmtId="2" fontId="8" fillId="0" borderId="0" xfId="0" applyNumberFormat="1" applyFont="1" applyFill="1" applyBorder="1" applyProtection="1">
      <protection locked="0"/>
    </xf>
    <xf numFmtId="2" fontId="4" fillId="0" borderId="0" xfId="0" applyNumberFormat="1" applyFont="1" applyFill="1" applyBorder="1" applyAlignment="1">
      <alignment horizontal="right"/>
    </xf>
    <xf numFmtId="0" fontId="4" fillId="0" borderId="0" xfId="0" applyFont="1" applyBorder="1"/>
    <xf numFmtId="0" fontId="14" fillId="0" borderId="0" xfId="0" applyFont="1" applyFill="1" applyBorder="1"/>
    <xf numFmtId="2" fontId="14" fillId="0" borderId="0" xfId="0" applyNumberFormat="1" applyFont="1" applyFill="1" applyBorder="1" applyAlignment="1">
      <alignment horizontal="right"/>
    </xf>
    <xf numFmtId="2" fontId="14" fillId="0" borderId="0" xfId="0" applyNumberFormat="1" applyFont="1" applyFill="1" applyBorder="1" applyProtection="1">
      <protection locked="0"/>
    </xf>
    <xf numFmtId="0" fontId="17" fillId="0" borderId="0" xfId="0" applyFont="1" applyFill="1" applyBorder="1" applyAlignment="1" applyProtection="1">
      <alignment horizontal="right"/>
      <protection locked="0"/>
    </xf>
    <xf numFmtId="0" fontId="17" fillId="0" borderId="0" xfId="0" applyFont="1" applyAlignment="1" applyProtection="1">
      <alignment horizontal="right"/>
      <protection locked="0"/>
    </xf>
    <xf numFmtId="2" fontId="0" fillId="0" borderId="12" xfId="0" applyNumberFormat="1" applyBorder="1" applyProtection="1">
      <protection hidden="1"/>
    </xf>
    <xf numFmtId="2" fontId="0" fillId="0" borderId="13" xfId="0" applyNumberFormat="1" applyBorder="1" applyProtection="1">
      <protection hidden="1"/>
    </xf>
    <xf numFmtId="2" fontId="0" fillId="0" borderId="16" xfId="0" applyNumberFormat="1" applyBorder="1" applyProtection="1">
      <protection hidden="1"/>
    </xf>
    <xf numFmtId="4" fontId="0" fillId="0" borderId="16" xfId="0" applyNumberFormat="1" applyBorder="1" applyProtection="1">
      <protection hidden="1"/>
    </xf>
    <xf numFmtId="4" fontId="0" fillId="0" borderId="12" xfId="0" applyNumberFormat="1" applyBorder="1" applyProtection="1">
      <protection hidden="1"/>
    </xf>
    <xf numFmtId="0" fontId="2" fillId="0" borderId="20" xfId="0" applyFont="1" applyBorder="1" applyAlignment="1">
      <alignment horizontal="right" wrapText="1"/>
    </xf>
    <xf numFmtId="0" fontId="2" fillId="0" borderId="34" xfId="0" applyFont="1" applyBorder="1" applyAlignment="1">
      <alignment horizontal="right" wrapText="1"/>
    </xf>
    <xf numFmtId="0" fontId="2" fillId="0" borderId="2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1" xfId="0" applyFont="1" applyBorder="1" applyAlignment="1">
      <alignment horizontal="right" vertical="center" wrapText="1"/>
    </xf>
    <xf numFmtId="0" fontId="2" fillId="0" borderId="34" xfId="0" applyFont="1" applyBorder="1" applyAlignment="1">
      <alignment horizontal="right" vertical="center" wrapText="1"/>
    </xf>
    <xf numFmtId="0" fontId="0" fillId="0" borderId="0" xfId="0" applyAlignment="1">
      <alignment wrapText="1"/>
    </xf>
    <xf numFmtId="0" fontId="2" fillId="0" borderId="37" xfId="0" applyFont="1" applyBorder="1" applyAlignment="1">
      <alignment horizontal="right" wrapText="1"/>
    </xf>
    <xf numFmtId="2" fontId="8" fillId="0" borderId="10" xfId="0" applyNumberFormat="1" applyFont="1" applyBorder="1" applyAlignment="1">
      <alignment horizontal="center" vertical="center"/>
    </xf>
    <xf numFmtId="2" fontId="8" fillId="0" borderId="17" xfId="0" applyNumberFormat="1" applyFont="1" applyBorder="1" applyAlignment="1">
      <alignment horizontal="center" vertical="center"/>
    </xf>
    <xf numFmtId="2" fontId="8" fillId="4" borderId="31" xfId="0" applyNumberFormat="1" applyFont="1" applyFill="1" applyBorder="1" applyAlignment="1" applyProtection="1">
      <protection locked="0"/>
    </xf>
    <xf numFmtId="0" fontId="0" fillId="0" borderId="0" xfId="0" applyFill="1" applyBorder="1" applyAlignment="1"/>
    <xf numFmtId="0" fontId="14" fillId="0" borderId="0" xfId="0" applyFont="1" applyFill="1" applyBorder="1" applyAlignment="1"/>
    <xf numFmtId="2" fontId="19" fillId="2" borderId="2" xfId="0" applyNumberFormat="1" applyFont="1" applyFill="1" applyBorder="1" applyProtection="1">
      <protection locked="0"/>
    </xf>
    <xf numFmtId="1" fontId="20" fillId="0" borderId="2" xfId="0" applyNumberFormat="1" applyFont="1" applyBorder="1" applyAlignment="1">
      <alignment horizontal="center"/>
    </xf>
    <xf numFmtId="14" fontId="21" fillId="0" borderId="11" xfId="0" applyNumberFormat="1" applyFont="1" applyBorder="1" applyAlignment="1">
      <alignment horizontal="center"/>
    </xf>
    <xf numFmtId="2" fontId="19" fillId="4" borderId="31" xfId="0" applyNumberFormat="1" applyFont="1" applyFill="1" applyBorder="1" applyAlignment="1" applyProtection="1">
      <protection locked="0"/>
    </xf>
    <xf numFmtId="0" fontId="19" fillId="0" borderId="0" xfId="0" applyFont="1"/>
    <xf numFmtId="2" fontId="19" fillId="2" borderId="26" xfId="0" applyNumberFormat="1" applyFont="1" applyFill="1" applyBorder="1" applyProtection="1">
      <protection locked="0"/>
    </xf>
    <xf numFmtId="1" fontId="20" fillId="0" borderId="22" xfId="0" applyNumberFormat="1" applyFont="1" applyBorder="1" applyAlignment="1">
      <alignment horizontal="center"/>
    </xf>
    <xf numFmtId="14" fontId="21" fillId="0" borderId="38" xfId="0" applyNumberFormat="1" applyFont="1" applyBorder="1" applyAlignment="1">
      <alignment horizontal="center"/>
    </xf>
    <xf numFmtId="14" fontId="19" fillId="0" borderId="0" xfId="0" applyNumberFormat="1" applyFont="1"/>
    <xf numFmtId="0" fontId="7" fillId="0" borderId="0" xfId="0" applyFont="1"/>
    <xf numFmtId="0" fontId="7" fillId="5" borderId="23" xfId="0" applyFont="1" applyFill="1" applyBorder="1" applyAlignment="1">
      <alignment horizontal="right" vertical="center" wrapText="1"/>
    </xf>
    <xf numFmtId="0" fontId="7" fillId="5" borderId="39" xfId="0" applyFont="1" applyFill="1" applyBorder="1"/>
    <xf numFmtId="2" fontId="7" fillId="5" borderId="39" xfId="0" applyNumberFormat="1" applyFont="1" applyFill="1" applyBorder="1"/>
    <xf numFmtId="0" fontId="7" fillId="5" borderId="19" xfId="0" applyFont="1" applyFill="1" applyBorder="1"/>
    <xf numFmtId="0" fontId="2" fillId="0" borderId="10" xfId="0" applyFont="1" applyBorder="1" applyAlignment="1">
      <alignment horizontal="right" vertical="center" wrapText="1"/>
    </xf>
    <xf numFmtId="0" fontId="2" fillId="0" borderId="16" xfId="0" applyFont="1" applyBorder="1" applyAlignment="1">
      <alignment horizontal="right" vertical="center"/>
    </xf>
    <xf numFmtId="2" fontId="9" fillId="0" borderId="12" xfId="0" applyNumberFormat="1" applyFont="1" applyBorder="1"/>
    <xf numFmtId="0" fontId="7" fillId="5" borderId="0" xfId="0" applyFont="1" applyFill="1" applyBorder="1" applyAlignment="1">
      <alignment horizontal="right" vertical="center" wrapText="1"/>
    </xf>
    <xf numFmtId="0" fontId="7" fillId="5" borderId="0" xfId="0" applyFont="1" applyFill="1" applyBorder="1"/>
    <xf numFmtId="2" fontId="7" fillId="5" borderId="0" xfId="0" applyNumberFormat="1" applyFont="1" applyFill="1" applyBorder="1"/>
    <xf numFmtId="2" fontId="7" fillId="5" borderId="40" xfId="0" applyNumberFormat="1" applyFont="1" applyFill="1" applyBorder="1"/>
    <xf numFmtId="2" fontId="9" fillId="5" borderId="0" xfId="0" applyNumberFormat="1" applyFont="1" applyFill="1" applyBorder="1"/>
    <xf numFmtId="2" fontId="9" fillId="0" borderId="1" xfId="0" applyNumberFormat="1" applyFont="1" applyBorder="1"/>
    <xf numFmtId="0" fontId="2" fillId="3" borderId="41" xfId="0" applyFont="1" applyFill="1" applyBorder="1" applyAlignment="1">
      <alignment horizontal="left"/>
    </xf>
    <xf numFmtId="0" fontId="0" fillId="3" borderId="15" xfId="0" applyFill="1" applyBorder="1"/>
    <xf numFmtId="0" fontId="2" fillId="3" borderId="42" xfId="0" applyFont="1" applyFill="1" applyBorder="1" applyAlignment="1">
      <alignment horizontal="right"/>
    </xf>
    <xf numFmtId="0" fontId="0" fillId="0" borderId="43" xfId="0" applyBorder="1"/>
    <xf numFmtId="0" fontId="0" fillId="0" borderId="44" xfId="0" applyBorder="1"/>
    <xf numFmtId="0" fontId="2" fillId="0" borderId="8" xfId="0" applyFont="1" applyBorder="1"/>
    <xf numFmtId="0" fontId="0" fillId="0" borderId="10" xfId="0" applyBorder="1"/>
    <xf numFmtId="0" fontId="4" fillId="0" borderId="31" xfId="0" applyFont="1" applyFill="1" applyBorder="1" applyAlignment="1"/>
    <xf numFmtId="0" fontId="4" fillId="0" borderId="12" xfId="0" applyFont="1" applyFill="1" applyBorder="1" applyAlignment="1"/>
    <xf numFmtId="2" fontId="0" fillId="0" borderId="0" xfId="0" applyNumberFormat="1"/>
    <xf numFmtId="2" fontId="2" fillId="0" borderId="0" xfId="0" applyNumberFormat="1" applyFont="1" applyBorder="1" applyAlignment="1" applyProtection="1">
      <alignment horizontal="right"/>
    </xf>
    <xf numFmtId="0" fontId="5" fillId="0" borderId="31" xfId="0" applyFont="1" applyFill="1" applyBorder="1"/>
    <xf numFmtId="0" fontId="0" fillId="0" borderId="0" xfId="0" applyFill="1" applyBorder="1" applyAlignment="1">
      <alignment horizontal="center"/>
    </xf>
    <xf numFmtId="0" fontId="15" fillId="6" borderId="28" xfId="0" applyFont="1" applyFill="1" applyBorder="1" applyAlignment="1">
      <alignment horizontal="right" vertical="center"/>
    </xf>
    <xf numFmtId="2" fontId="25" fillId="0" borderId="12" xfId="0" applyNumberFormat="1" applyFont="1" applyBorder="1"/>
    <xf numFmtId="0" fontId="7" fillId="7" borderId="23" xfId="0" applyFont="1" applyFill="1" applyBorder="1" applyAlignment="1">
      <alignment horizontal="right" vertical="center" wrapText="1"/>
    </xf>
    <xf numFmtId="2" fontId="23" fillId="7" borderId="39" xfId="0" applyNumberFormat="1" applyFont="1" applyFill="1" applyBorder="1"/>
    <xf numFmtId="0" fontId="2" fillId="6" borderId="13" xfId="0" applyFont="1" applyFill="1" applyBorder="1" applyAlignment="1">
      <alignment wrapText="1"/>
    </xf>
    <xf numFmtId="0" fontId="7" fillId="7" borderId="39" xfId="0" applyFont="1" applyFill="1" applyBorder="1"/>
    <xf numFmtId="2" fontId="7" fillId="7" borderId="39" xfId="0" applyNumberFormat="1" applyFont="1" applyFill="1" applyBorder="1"/>
    <xf numFmtId="0" fontId="7" fillId="7" borderId="19" xfId="0" applyFont="1" applyFill="1" applyBorder="1"/>
    <xf numFmtId="2" fontId="0" fillId="0" borderId="5" xfId="0" applyNumberFormat="1" applyFill="1" applyBorder="1" applyAlignment="1" applyProtection="1">
      <alignment horizontal="right"/>
    </xf>
    <xf numFmtId="0" fontId="0" fillId="0" borderId="0" xfId="0" applyBorder="1"/>
    <xf numFmtId="0" fontId="0" fillId="0" borderId="6" xfId="0" applyBorder="1"/>
    <xf numFmtId="0" fontId="0" fillId="0" borderId="5" xfId="0" applyBorder="1"/>
    <xf numFmtId="0" fontId="8" fillId="4" borderId="13" xfId="0" applyFont="1" applyFill="1" applyBorder="1" applyAlignment="1">
      <alignment wrapText="1"/>
    </xf>
    <xf numFmtId="0" fontId="3" fillId="3" borderId="0" xfId="0" applyFont="1" applyFill="1" applyAlignment="1">
      <alignment horizontal="center"/>
    </xf>
    <xf numFmtId="0" fontId="0" fillId="0" borderId="14" xfId="0" applyBorder="1" applyAlignment="1"/>
    <xf numFmtId="0" fontId="2" fillId="0" borderId="10" xfId="0" applyFont="1" applyBorder="1" applyAlignment="1">
      <alignment horizontal="right" wrapText="1"/>
    </xf>
    <xf numFmtId="0" fontId="2" fillId="0" borderId="16" xfId="0" applyFont="1" applyBorder="1" applyAlignment="1">
      <alignment horizontal="right"/>
    </xf>
    <xf numFmtId="2" fontId="2" fillId="0" borderId="14" xfId="0" quotePrefix="1" applyNumberFormat="1" applyFont="1" applyBorder="1"/>
    <xf numFmtId="0" fontId="2" fillId="6" borderId="1" xfId="0" applyFont="1" applyFill="1" applyBorder="1" applyAlignment="1">
      <alignment wrapText="1"/>
    </xf>
    <xf numFmtId="2" fontId="19" fillId="6" borderId="12" xfId="0" applyNumberFormat="1" applyFont="1" applyFill="1" applyBorder="1" applyAlignment="1" applyProtection="1">
      <protection locked="0"/>
    </xf>
    <xf numFmtId="2" fontId="8" fillId="6" borderId="12" xfId="0" applyNumberFormat="1" applyFont="1" applyFill="1" applyBorder="1" applyAlignment="1" applyProtection="1">
      <protection locked="0"/>
    </xf>
    <xf numFmtId="2" fontId="14" fillId="6" borderId="45" xfId="0" applyNumberFormat="1" applyFont="1" applyFill="1" applyBorder="1" applyAlignment="1">
      <alignment vertical="center"/>
    </xf>
    <xf numFmtId="166" fontId="6" fillId="0" borderId="0" xfId="0" applyNumberFormat="1" applyFont="1" applyFill="1" applyBorder="1" applyAlignment="1" applyProtection="1">
      <alignment horizontal="right"/>
    </xf>
    <xf numFmtId="0" fontId="6" fillId="0" borderId="0" xfId="0" applyFont="1" applyFill="1" applyBorder="1" applyAlignment="1" applyProtection="1">
      <alignment horizontal="right"/>
    </xf>
    <xf numFmtId="0" fontId="4" fillId="0" borderId="0" xfId="0" applyFont="1" applyFill="1" applyBorder="1" applyAlignment="1">
      <alignment horizontal="right"/>
    </xf>
    <xf numFmtId="0" fontId="0" fillId="0" borderId="0" xfId="0" applyBorder="1" applyAlignment="1">
      <alignment horizontal="left" vertical="center" wrapText="1"/>
    </xf>
    <xf numFmtId="0" fontId="15" fillId="0" borderId="0" xfId="0" applyFont="1" applyBorder="1" applyAlignment="1">
      <alignment vertical="center"/>
    </xf>
    <xf numFmtId="2" fontId="19" fillId="2" borderId="0" xfId="0" applyNumberFormat="1" applyFont="1" applyFill="1" applyBorder="1" applyAlignment="1" applyProtection="1">
      <protection locked="0"/>
    </xf>
    <xf numFmtId="2" fontId="8" fillId="2" borderId="0" xfId="0" applyNumberFormat="1" applyFont="1" applyFill="1" applyBorder="1" applyAlignment="1" applyProtection="1">
      <protection locked="0"/>
    </xf>
    <xf numFmtId="2" fontId="4" fillId="0" borderId="0" xfId="0" applyNumberFormat="1" applyFont="1"/>
    <xf numFmtId="0" fontId="0" fillId="0" borderId="0" xfId="0" applyBorder="1" applyAlignment="1"/>
    <xf numFmtId="0" fontId="0" fillId="0" borderId="0" xfId="0" applyBorder="1" applyAlignment="1">
      <alignment vertical="center"/>
    </xf>
    <xf numFmtId="0" fontId="4" fillId="0" borderId="0" xfId="0" applyFont="1" applyBorder="1" applyAlignment="1">
      <alignment horizontal="center"/>
    </xf>
    <xf numFmtId="0" fontId="6" fillId="0" borderId="12" xfId="0" applyFont="1" applyFill="1" applyBorder="1" applyAlignment="1" applyProtection="1"/>
    <xf numFmtId="2" fontId="2" fillId="2" borderId="0" xfId="0" applyNumberFormat="1" applyFont="1" applyFill="1" applyBorder="1" applyAlignment="1" applyProtection="1">
      <alignment horizontal="right"/>
      <protection locked="0"/>
    </xf>
    <xf numFmtId="2" fontId="0" fillId="0" borderId="0" xfId="0" applyNumberFormat="1" applyBorder="1" applyProtection="1">
      <protection hidden="1"/>
    </xf>
    <xf numFmtId="4" fontId="0" fillId="0" borderId="0" xfId="0" applyNumberFormat="1" applyBorder="1"/>
    <xf numFmtId="0" fontId="2" fillId="3" borderId="0" xfId="0" applyFont="1" applyFill="1" applyBorder="1" applyAlignment="1">
      <alignment horizontal="left"/>
    </xf>
    <xf numFmtId="0" fontId="2" fillId="3" borderId="0" xfId="0" applyFont="1" applyFill="1" applyBorder="1" applyAlignment="1">
      <alignment horizontal="right"/>
    </xf>
    <xf numFmtId="2" fontId="8" fillId="2" borderId="0" xfId="0" applyNumberFormat="1" applyFont="1" applyFill="1" applyBorder="1" applyAlignment="1" applyProtection="1">
      <alignment horizontal="right"/>
      <protection locked="0"/>
    </xf>
    <xf numFmtId="0" fontId="2" fillId="0" borderId="37" xfId="0" applyFont="1" applyBorder="1"/>
    <xf numFmtId="4" fontId="2" fillId="2" borderId="29" xfId="0" applyNumberFormat="1" applyFont="1" applyFill="1" applyBorder="1" applyProtection="1"/>
    <xf numFmtId="4" fontId="2" fillId="2" borderId="3" xfId="0" applyNumberFormat="1" applyFont="1" applyFill="1" applyBorder="1" applyProtection="1"/>
    <xf numFmtId="4" fontId="2" fillId="2" borderId="46" xfId="0" applyNumberFormat="1" applyFont="1" applyFill="1" applyBorder="1" applyProtection="1"/>
    <xf numFmtId="2" fontId="9" fillId="0" borderId="0" xfId="0" applyNumberFormat="1" applyFont="1" applyFill="1" applyBorder="1"/>
    <xf numFmtId="2" fontId="0" fillId="8" borderId="47" xfId="0" applyNumberFormat="1" applyFill="1" applyBorder="1" applyProtection="1">
      <protection hidden="1"/>
    </xf>
    <xf numFmtId="2" fontId="0" fillId="8" borderId="48" xfId="0" applyNumberFormat="1" applyFill="1" applyBorder="1" applyProtection="1">
      <protection hidden="1"/>
    </xf>
    <xf numFmtId="2" fontId="2" fillId="8" borderId="17" xfId="0" applyNumberFormat="1" applyFont="1" applyFill="1" applyBorder="1"/>
    <xf numFmtId="0" fontId="2" fillId="0" borderId="20" xfId="0" applyFont="1" applyBorder="1" applyAlignment="1" applyProtection="1">
      <alignment horizontal="right" wrapText="1"/>
      <protection locked="0"/>
    </xf>
    <xf numFmtId="0" fontId="2" fillId="0" borderId="34" xfId="0" applyFont="1" applyBorder="1" applyAlignment="1" applyProtection="1">
      <alignment horizontal="right" wrapText="1"/>
      <protection locked="0"/>
    </xf>
    <xf numFmtId="0" fontId="2" fillId="0" borderId="10" xfId="0" applyFont="1" applyBorder="1" applyAlignment="1" applyProtection="1">
      <alignment horizontal="right" wrapText="1"/>
      <protection locked="0"/>
    </xf>
    <xf numFmtId="0" fontId="2" fillId="0" borderId="20"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21" xfId="0" applyFont="1" applyBorder="1" applyAlignment="1" applyProtection="1">
      <alignment horizontal="right" vertical="center" wrapText="1"/>
      <protection locked="0"/>
    </xf>
    <xf numFmtId="0" fontId="2" fillId="0" borderId="34"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0" fillId="0" borderId="0" xfId="0" applyBorder="1" applyAlignment="1" applyProtection="1">
      <alignment horizontal="left" vertical="center" wrapText="1"/>
      <protection locked="0"/>
    </xf>
    <xf numFmtId="0" fontId="0" fillId="0" borderId="0" xfId="0" applyAlignment="1" applyProtection="1">
      <alignment wrapText="1"/>
      <protection locked="0"/>
    </xf>
    <xf numFmtId="0" fontId="7" fillId="5" borderId="23" xfId="0" applyFont="1" applyFill="1" applyBorder="1" applyAlignment="1" applyProtection="1">
      <alignment horizontal="right" vertical="center" wrapText="1"/>
      <protection locked="0"/>
    </xf>
    <xf numFmtId="0" fontId="7" fillId="5" borderId="0" xfId="0" applyFont="1" applyFill="1" applyBorder="1" applyAlignment="1" applyProtection="1">
      <alignment horizontal="right" vertical="center" wrapText="1"/>
      <protection locked="0"/>
    </xf>
    <xf numFmtId="0" fontId="7" fillId="7" borderId="23" xfId="0" applyFont="1" applyFill="1" applyBorder="1" applyAlignment="1" applyProtection="1">
      <alignment horizontal="right" vertical="center" wrapText="1"/>
      <protection locked="0"/>
    </xf>
    <xf numFmtId="0" fontId="2" fillId="0" borderId="18" xfId="0" applyFont="1" applyBorder="1" applyAlignment="1" applyProtection="1">
      <alignment horizontal="right"/>
      <protection locked="0"/>
    </xf>
    <xf numFmtId="2" fontId="0" fillId="0" borderId="3" xfId="0" quotePrefix="1" applyNumberFormat="1" applyBorder="1" applyProtection="1">
      <protection locked="0"/>
    </xf>
    <xf numFmtId="2" fontId="0" fillId="0" borderId="16" xfId="0" quotePrefix="1" applyNumberFormat="1" applyBorder="1" applyProtection="1">
      <protection locked="0"/>
    </xf>
    <xf numFmtId="0" fontId="2" fillId="0" borderId="18"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19" xfId="0" applyFont="1" applyBorder="1" applyAlignment="1" applyProtection="1">
      <alignment horizontal="right" vertical="center"/>
      <protection locked="0"/>
    </xf>
    <xf numFmtId="0" fontId="2" fillId="0" borderId="29" xfId="0" applyFont="1" applyBorder="1" applyAlignment="1" applyProtection="1">
      <alignment horizontal="right" vertical="center"/>
      <protection locked="0"/>
    </xf>
    <xf numFmtId="0" fontId="2" fillId="0" borderId="16" xfId="0" applyFont="1" applyBorder="1" applyAlignment="1" applyProtection="1">
      <alignment horizontal="right" vertical="center"/>
      <protection locked="0"/>
    </xf>
    <xf numFmtId="9" fontId="15" fillId="0" borderId="28" xfId="0" applyNumberFormat="1" applyFont="1" applyBorder="1" applyAlignment="1" applyProtection="1">
      <alignment horizontal="right" vertical="center"/>
      <protection locked="0"/>
    </xf>
    <xf numFmtId="0" fontId="15" fillId="0" borderId="28" xfId="0" applyFont="1" applyBorder="1" applyAlignment="1" applyProtection="1">
      <alignment horizontal="right" vertical="center"/>
      <protection locked="0"/>
    </xf>
    <xf numFmtId="0" fontId="15" fillId="6" borderId="28" xfId="0" applyFont="1" applyFill="1" applyBorder="1" applyAlignment="1" applyProtection="1">
      <alignment horizontal="right" vertical="center"/>
      <protection locked="0"/>
    </xf>
    <xf numFmtId="0" fontId="15" fillId="0" borderId="0" xfId="0" applyFont="1" applyBorder="1" applyAlignment="1" applyProtection="1">
      <alignment vertical="center"/>
      <protection locked="0"/>
    </xf>
    <xf numFmtId="0" fontId="0" fillId="0" borderId="0" xfId="0" applyProtection="1">
      <protection locked="0"/>
    </xf>
    <xf numFmtId="0" fontId="7" fillId="5" borderId="39" xfId="0" applyFont="1" applyFill="1" applyBorder="1" applyProtection="1">
      <protection locked="0"/>
    </xf>
    <xf numFmtId="0" fontId="7" fillId="5" borderId="0" xfId="0" applyFont="1" applyFill="1" applyBorder="1" applyProtection="1">
      <protection locked="0"/>
    </xf>
    <xf numFmtId="0" fontId="7" fillId="7" borderId="39" xfId="0" applyFont="1" applyFill="1" applyBorder="1" applyProtection="1">
      <protection locked="0"/>
    </xf>
    <xf numFmtId="1" fontId="7" fillId="0" borderId="2" xfId="0" applyNumberFormat="1" applyFont="1" applyBorder="1" applyAlignment="1" applyProtection="1">
      <alignment horizontal="center"/>
      <protection locked="0"/>
    </xf>
    <xf numFmtId="14" fontId="2" fillId="0" borderId="11" xfId="0" applyNumberFormat="1" applyFont="1" applyBorder="1" applyAlignment="1" applyProtection="1">
      <alignment horizontal="center"/>
      <protection locked="0"/>
    </xf>
    <xf numFmtId="2" fontId="9" fillId="0" borderId="12" xfId="0" applyNumberFormat="1" applyFont="1" applyBorder="1" applyProtection="1">
      <protection locked="0"/>
    </xf>
    <xf numFmtId="2" fontId="25" fillId="0" borderId="12" xfId="0" applyNumberFormat="1" applyFont="1" applyBorder="1" applyProtection="1">
      <protection locked="0"/>
    </xf>
    <xf numFmtId="2" fontId="23" fillId="7" borderId="39" xfId="0" applyNumberFormat="1" applyFont="1" applyFill="1" applyBorder="1" applyProtection="1">
      <protection locked="0"/>
    </xf>
    <xf numFmtId="2" fontId="7" fillId="7" borderId="39" xfId="0" applyNumberFormat="1" applyFont="1" applyFill="1" applyBorder="1" applyProtection="1">
      <protection locked="0"/>
    </xf>
    <xf numFmtId="2" fontId="0" fillId="0" borderId="0" xfId="0" applyNumberFormat="1" applyProtection="1">
      <protection locked="0"/>
    </xf>
    <xf numFmtId="2" fontId="23" fillId="7" borderId="0" xfId="0" applyNumberFormat="1" applyFont="1" applyFill="1" applyBorder="1" applyProtection="1">
      <protection locked="0"/>
    </xf>
    <xf numFmtId="0" fontId="0" fillId="0" borderId="6" xfId="0" applyFill="1" applyBorder="1"/>
    <xf numFmtId="2" fontId="25" fillId="0" borderId="1" xfId="0" applyNumberFormat="1" applyFont="1" applyBorder="1"/>
    <xf numFmtId="0" fontId="0" fillId="0" borderId="9" xfId="0" quotePrefix="1" applyBorder="1"/>
    <xf numFmtId="0" fontId="0" fillId="0" borderId="14" xfId="0" applyBorder="1"/>
    <xf numFmtId="2" fontId="9" fillId="0" borderId="49" xfId="0" applyNumberFormat="1" applyFont="1" applyBorder="1"/>
    <xf numFmtId="2" fontId="9" fillId="0" borderId="13" xfId="0" applyNumberFormat="1" applyFont="1" applyBorder="1"/>
    <xf numFmtId="2" fontId="9" fillId="0" borderId="12" xfId="0" applyNumberFormat="1" applyFont="1" applyFill="1" applyBorder="1"/>
    <xf numFmtId="0" fontId="0" fillId="0" borderId="0" xfId="0" applyFill="1" applyProtection="1">
      <protection locked="0"/>
    </xf>
    <xf numFmtId="2" fontId="26" fillId="0" borderId="10" xfId="0" applyNumberFormat="1" applyFont="1" applyBorder="1" applyAlignment="1">
      <alignment horizontal="center" vertical="center"/>
    </xf>
    <xf numFmtId="0" fontId="1" fillId="0" borderId="0" xfId="0" applyFont="1" applyFill="1" applyBorder="1"/>
    <xf numFmtId="2" fontId="1" fillId="4" borderId="31" xfId="0" applyNumberFormat="1" applyFont="1" applyFill="1" applyBorder="1" applyAlignment="1" applyProtection="1">
      <protection locked="0"/>
    </xf>
    <xf numFmtId="2" fontId="28" fillId="4" borderId="31" xfId="0" applyNumberFormat="1" applyFont="1" applyFill="1" applyBorder="1" applyAlignment="1" applyProtection="1">
      <protection locked="0"/>
    </xf>
    <xf numFmtId="0" fontId="25" fillId="0" borderId="0" xfId="0" applyFont="1"/>
    <xf numFmtId="0" fontId="27" fillId="0" borderId="10" xfId="0" applyFont="1" applyBorder="1" applyAlignment="1" applyProtection="1">
      <alignment horizontal="right" wrapText="1"/>
      <protection locked="0"/>
    </xf>
    <xf numFmtId="2" fontId="25" fillId="0" borderId="16" xfId="0" quotePrefix="1" applyNumberFormat="1" applyFont="1" applyBorder="1" applyProtection="1">
      <protection locked="0"/>
    </xf>
    <xf numFmtId="2" fontId="22" fillId="0" borderId="12" xfId="0" quotePrefix="1" applyNumberFormat="1" applyFont="1" applyBorder="1" applyProtection="1"/>
    <xf numFmtId="0" fontId="27" fillId="0" borderId="10" xfId="0" applyFont="1" applyBorder="1" applyAlignment="1">
      <alignment horizontal="right" wrapText="1"/>
    </xf>
    <xf numFmtId="0" fontId="27" fillId="0" borderId="16" xfId="0" applyFont="1" applyBorder="1" applyAlignment="1">
      <alignment horizontal="right"/>
    </xf>
    <xf numFmtId="0" fontId="25" fillId="0" borderId="16" xfId="0" applyFont="1" applyBorder="1"/>
    <xf numFmtId="0" fontId="8" fillId="0" borderId="0" xfId="0" applyFont="1" applyFill="1" applyBorder="1" applyAlignment="1"/>
    <xf numFmtId="0" fontId="8" fillId="0" borderId="0" xfId="0" applyFont="1"/>
    <xf numFmtId="0" fontId="8" fillId="0" borderId="0" xfId="0" applyFont="1" applyBorder="1"/>
    <xf numFmtId="2" fontId="7" fillId="7" borderId="19" xfId="0" applyNumberFormat="1" applyFont="1" applyFill="1" applyBorder="1"/>
    <xf numFmtId="0" fontId="7" fillId="0" borderId="0" xfId="0" applyFont="1" applyFill="1" applyBorder="1"/>
    <xf numFmtId="0" fontId="22" fillId="0" borderId="0" xfId="0" applyFont="1"/>
    <xf numFmtId="0" fontId="20" fillId="0" borderId="16" xfId="0" applyFont="1" applyBorder="1" applyAlignment="1">
      <alignment horizontal="right"/>
    </xf>
    <xf numFmtId="2" fontId="20" fillId="0" borderId="9" xfId="0" quotePrefix="1" applyNumberFormat="1" applyFont="1" applyBorder="1"/>
    <xf numFmtId="4" fontId="0" fillId="0" borderId="0" xfId="0" applyNumberFormat="1"/>
    <xf numFmtId="0" fontId="22" fillId="0" borderId="16" xfId="0" applyFont="1" applyBorder="1"/>
    <xf numFmtId="2" fontId="27" fillId="7" borderId="39" xfId="0" applyNumberFormat="1" applyFont="1" applyFill="1" applyBorder="1" applyProtection="1">
      <protection locked="0"/>
    </xf>
    <xf numFmtId="2" fontId="9" fillId="0" borderId="50" xfId="0" applyNumberFormat="1" applyFont="1" applyBorder="1"/>
    <xf numFmtId="2" fontId="29" fillId="0" borderId="0" xfId="0" applyNumberFormat="1" applyFont="1" applyFill="1" applyBorder="1" applyAlignment="1">
      <alignment horizontal="right"/>
    </xf>
    <xf numFmtId="2" fontId="25" fillId="0" borderId="50" xfId="0" applyNumberFormat="1" applyFont="1" applyBorder="1"/>
    <xf numFmtId="2" fontId="20" fillId="0" borderId="50" xfId="0" quotePrefix="1" applyNumberFormat="1" applyFont="1" applyBorder="1"/>
    <xf numFmtId="2" fontId="27" fillId="0" borderId="50" xfId="0" quotePrefix="1" applyNumberFormat="1" applyFont="1" applyBorder="1"/>
    <xf numFmtId="2" fontId="22" fillId="0" borderId="1" xfId="0" quotePrefix="1" applyNumberFormat="1" applyFont="1" applyBorder="1"/>
    <xf numFmtId="0" fontId="6" fillId="0" borderId="0" xfId="0" applyFont="1" applyBorder="1" applyAlignment="1">
      <alignment vertical="top"/>
    </xf>
    <xf numFmtId="0" fontId="30" fillId="0" borderId="0" xfId="0" applyFont="1" applyBorder="1"/>
    <xf numFmtId="4" fontId="30" fillId="0" borderId="0" xfId="0" applyNumberFormat="1" applyFont="1" applyBorder="1"/>
    <xf numFmtId="1" fontId="31" fillId="0" borderId="2" xfId="0" applyNumberFormat="1" applyFont="1" applyBorder="1" applyAlignment="1">
      <alignment horizontal="center"/>
    </xf>
    <xf numFmtId="0" fontId="6" fillId="0" borderId="7" xfId="0" applyFont="1" applyFill="1" applyBorder="1" applyAlignment="1">
      <alignment wrapText="1"/>
    </xf>
    <xf numFmtId="2" fontId="14" fillId="0" borderId="10" xfId="0" applyNumberFormat="1" applyFont="1" applyBorder="1" applyAlignment="1" applyProtection="1">
      <alignment vertical="center"/>
    </xf>
    <xf numFmtId="0" fontId="0" fillId="0" borderId="0" xfId="0" applyProtection="1"/>
    <xf numFmtId="0" fontId="25" fillId="0" borderId="0" xfId="0" applyFont="1" applyProtection="1"/>
    <xf numFmtId="0" fontId="3" fillId="3" borderId="0" xfId="0" applyFont="1" applyFill="1" applyAlignment="1" applyProtection="1">
      <alignment horizontal="center"/>
    </xf>
    <xf numFmtId="0" fontId="7" fillId="0" borderId="0" xfId="0" applyFont="1" applyProtection="1"/>
    <xf numFmtId="0" fontId="23" fillId="0" borderId="0" xfId="0" applyFont="1" applyProtection="1"/>
    <xf numFmtId="0" fontId="3" fillId="0" borderId="0" xfId="0" applyFont="1" applyFill="1" applyAlignment="1" applyProtection="1">
      <alignment horizontal="center"/>
    </xf>
    <xf numFmtId="0" fontId="4" fillId="0" borderId="4" xfId="0" applyFont="1" applyFill="1" applyBorder="1" applyProtection="1"/>
    <xf numFmtId="0" fontId="5" fillId="0" borderId="4" xfId="0" applyFont="1" applyFill="1" applyBorder="1" applyProtection="1"/>
    <xf numFmtId="0" fontId="4" fillId="0" borderId="0" xfId="0" applyFont="1" applyFill="1" applyBorder="1" applyAlignment="1" applyProtection="1">
      <alignment horizontal="right"/>
    </xf>
    <xf numFmtId="0" fontId="4" fillId="0" borderId="1" xfId="0" applyFont="1" applyBorder="1" applyProtection="1"/>
    <xf numFmtId="0" fontId="4" fillId="0" borderId="0" xfId="0" applyFont="1" applyBorder="1" applyProtection="1"/>
    <xf numFmtId="0" fontId="2" fillId="0" borderId="20" xfId="0" applyFont="1" applyBorder="1" applyAlignment="1" applyProtection="1">
      <alignment horizontal="right" wrapText="1"/>
    </xf>
    <xf numFmtId="0" fontId="2" fillId="0" borderId="34" xfId="0" applyFont="1" applyBorder="1" applyAlignment="1" applyProtection="1">
      <alignment horizontal="right" wrapText="1"/>
    </xf>
    <xf numFmtId="0" fontId="2" fillId="0" borderId="10" xfId="0" applyFont="1" applyBorder="1" applyAlignment="1" applyProtection="1">
      <alignment horizontal="right" wrapText="1"/>
    </xf>
    <xf numFmtId="0" fontId="27" fillId="0" borderId="10" xfId="0" applyFont="1" applyBorder="1" applyAlignment="1" applyProtection="1">
      <alignment horizontal="right" wrapText="1"/>
    </xf>
    <xf numFmtId="0" fontId="2" fillId="0" borderId="20"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21" xfId="0" applyFont="1" applyBorder="1" applyAlignment="1" applyProtection="1">
      <alignment horizontal="right" vertical="center" wrapText="1"/>
    </xf>
    <xf numFmtId="0" fontId="2" fillId="0" borderId="34" xfId="0" applyFont="1" applyBorder="1" applyAlignment="1" applyProtection="1">
      <alignment horizontal="right" vertical="center" wrapText="1"/>
    </xf>
    <xf numFmtId="0" fontId="2" fillId="0" borderId="10" xfId="0" applyFont="1" applyBorder="1" applyAlignment="1" applyProtection="1">
      <alignment horizontal="right" vertical="center" wrapText="1"/>
    </xf>
    <xf numFmtId="0" fontId="0" fillId="0" borderId="0" xfId="0" applyBorder="1" applyAlignment="1" applyProtection="1">
      <alignment horizontal="left" vertical="center" wrapText="1"/>
    </xf>
    <xf numFmtId="0" fontId="0" fillId="0" borderId="0" xfId="0" applyAlignment="1" applyProtection="1">
      <alignment wrapText="1"/>
    </xf>
    <xf numFmtId="0" fontId="7" fillId="5" borderId="23" xfId="0" applyFont="1" applyFill="1" applyBorder="1" applyAlignment="1" applyProtection="1">
      <alignment horizontal="right" vertical="center" wrapText="1"/>
    </xf>
    <xf numFmtId="0" fontId="7" fillId="5" borderId="0" xfId="0" applyFont="1" applyFill="1" applyBorder="1" applyAlignment="1" applyProtection="1">
      <alignment horizontal="right" vertical="center" wrapText="1"/>
    </xf>
    <xf numFmtId="0" fontId="7" fillId="7" borderId="23" xfId="0" applyFont="1" applyFill="1" applyBorder="1" applyAlignment="1" applyProtection="1">
      <alignment horizontal="right" vertical="center" wrapText="1"/>
    </xf>
    <xf numFmtId="0" fontId="2" fillId="0" borderId="18" xfId="0" applyFont="1" applyBorder="1" applyAlignment="1" applyProtection="1">
      <alignment horizontal="right"/>
    </xf>
    <xf numFmtId="0" fontId="2" fillId="0" borderId="29" xfId="0" applyFont="1" applyBorder="1" applyAlignment="1" applyProtection="1">
      <alignment horizontal="right"/>
    </xf>
    <xf numFmtId="0" fontId="2" fillId="0" borderId="16" xfId="0" applyFont="1" applyBorder="1" applyAlignment="1" applyProtection="1">
      <alignment horizontal="right"/>
    </xf>
    <xf numFmtId="0" fontId="27" fillId="0" borderId="16" xfId="0" applyFont="1" applyBorder="1" applyAlignment="1" applyProtection="1">
      <alignment horizontal="right"/>
    </xf>
    <xf numFmtId="0" fontId="2" fillId="0" borderId="18"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19" xfId="0" applyFont="1" applyBorder="1" applyAlignment="1" applyProtection="1">
      <alignment horizontal="right" vertical="center"/>
    </xf>
    <xf numFmtId="0" fontId="2" fillId="0" borderId="29" xfId="0" applyFont="1" applyBorder="1" applyAlignment="1" applyProtection="1">
      <alignment horizontal="right" vertical="center"/>
    </xf>
    <xf numFmtId="0" fontId="2" fillId="0" borderId="16" xfId="0" applyFont="1" applyBorder="1" applyAlignment="1" applyProtection="1">
      <alignment horizontal="right" vertical="center"/>
    </xf>
    <xf numFmtId="9" fontId="15" fillId="0" borderId="28" xfId="0" applyNumberFormat="1" applyFont="1" applyBorder="1" applyAlignment="1" applyProtection="1">
      <alignment horizontal="right" vertical="center"/>
    </xf>
    <xf numFmtId="0" fontId="15" fillId="0" borderId="28" xfId="0" applyFont="1" applyBorder="1" applyAlignment="1" applyProtection="1">
      <alignment horizontal="right" vertical="center"/>
    </xf>
    <xf numFmtId="0" fontId="15" fillId="6" borderId="28" xfId="0" applyFont="1" applyFill="1" applyBorder="1" applyAlignment="1" applyProtection="1">
      <alignment horizontal="right" vertical="center"/>
    </xf>
    <xf numFmtId="0" fontId="15" fillId="0" borderId="0" xfId="0" applyFont="1" applyBorder="1" applyAlignment="1" applyProtection="1">
      <alignment vertical="center"/>
    </xf>
    <xf numFmtId="0" fontId="7" fillId="5" borderId="39" xfId="0" applyFont="1" applyFill="1" applyBorder="1" applyProtection="1"/>
    <xf numFmtId="0" fontId="7" fillId="5" borderId="0" xfId="0" applyFont="1" applyFill="1" applyBorder="1" applyProtection="1"/>
    <xf numFmtId="0" fontId="23" fillId="7" borderId="39" xfId="0" applyFont="1" applyFill="1" applyBorder="1" applyProtection="1"/>
    <xf numFmtId="2" fontId="19" fillId="2" borderId="2" xfId="0" applyNumberFormat="1" applyFont="1" applyFill="1" applyBorder="1" applyProtection="1"/>
    <xf numFmtId="2" fontId="7" fillId="5" borderId="0" xfId="0" applyNumberFormat="1" applyFont="1" applyFill="1" applyBorder="1" applyProtection="1"/>
    <xf numFmtId="2" fontId="9" fillId="5" borderId="0" xfId="0" applyNumberFormat="1" applyFont="1" applyFill="1" applyBorder="1" applyProtection="1"/>
    <xf numFmtId="1" fontId="27" fillId="0" borderId="2" xfId="0" applyNumberFormat="1" applyFont="1" applyBorder="1" applyAlignment="1" applyProtection="1">
      <alignment horizontal="center"/>
    </xf>
    <xf numFmtId="14" fontId="21" fillId="0" borderId="11" xfId="0" applyNumberFormat="1" applyFont="1" applyBorder="1" applyAlignment="1" applyProtection="1">
      <alignment horizontal="center"/>
    </xf>
    <xf numFmtId="2" fontId="9" fillId="0" borderId="3" xfId="0" applyNumberFormat="1" applyFont="1" applyBorder="1" applyProtection="1"/>
    <xf numFmtId="2" fontId="9" fillId="0" borderId="12" xfId="0" applyNumberFormat="1" applyFont="1" applyBorder="1" applyProtection="1"/>
    <xf numFmtId="2" fontId="25" fillId="0" borderId="12" xfId="0" applyNumberFormat="1" applyFont="1" applyBorder="1" applyProtection="1"/>
    <xf numFmtId="2" fontId="23" fillId="7" borderId="39" xfId="0" applyNumberFormat="1" applyFont="1" applyFill="1" applyBorder="1" applyProtection="1"/>
    <xf numFmtId="2" fontId="19" fillId="2" borderId="0" xfId="0" applyNumberFormat="1" applyFont="1" applyFill="1" applyBorder="1" applyAlignment="1" applyProtection="1"/>
    <xf numFmtId="164" fontId="7" fillId="5" borderId="40" xfId="1" applyFont="1" applyFill="1" applyBorder="1" applyProtection="1"/>
    <xf numFmtId="2" fontId="0" fillId="0" borderId="0" xfId="0" applyNumberFormat="1" applyProtection="1"/>
    <xf numFmtId="2" fontId="0" fillId="2" borderId="2" xfId="0" applyNumberFormat="1" applyFill="1" applyBorder="1" applyProtection="1"/>
    <xf numFmtId="2" fontId="0" fillId="0" borderId="3" xfId="0" quotePrefix="1" applyNumberFormat="1" applyBorder="1" applyProtection="1"/>
    <xf numFmtId="1" fontId="7" fillId="0" borderId="2" xfId="0" applyNumberFormat="1" applyFont="1" applyBorder="1" applyAlignment="1" applyProtection="1">
      <alignment horizontal="center"/>
    </xf>
    <xf numFmtId="14" fontId="2" fillId="0" borderId="11" xfId="0" applyNumberFormat="1" applyFont="1" applyBorder="1" applyAlignment="1" applyProtection="1">
      <alignment horizontal="center"/>
    </xf>
    <xf numFmtId="2" fontId="8" fillId="2" borderId="0" xfId="0" applyNumberFormat="1" applyFont="1" applyFill="1" applyBorder="1" applyAlignment="1" applyProtection="1"/>
    <xf numFmtId="2" fontId="0" fillId="2" borderId="26" xfId="0" applyNumberFormat="1" applyFill="1" applyBorder="1" applyProtection="1"/>
    <xf numFmtId="14" fontId="0" fillId="0" borderId="0" xfId="0" applyNumberFormat="1" applyProtection="1"/>
    <xf numFmtId="2" fontId="2" fillId="0" borderId="9" xfId="0" quotePrefix="1" applyNumberFormat="1" applyFont="1" applyBorder="1" applyProtection="1"/>
    <xf numFmtId="2" fontId="20" fillId="0" borderId="50" xfId="0" quotePrefix="1" applyNumberFormat="1" applyFont="1" applyBorder="1" applyProtection="1"/>
    <xf numFmtId="0" fontId="6" fillId="0" borderId="8" xfId="0" applyFont="1" applyBorder="1" applyAlignment="1" applyProtection="1">
      <alignment horizontal="center" vertical="center"/>
    </xf>
    <xf numFmtId="0" fontId="6" fillId="0" borderId="10" xfId="0" applyFont="1" applyBorder="1" applyAlignment="1" applyProtection="1">
      <alignment horizontal="center" vertical="center"/>
    </xf>
    <xf numFmtId="2" fontId="25" fillId="0" borderId="50" xfId="0" applyNumberFormat="1" applyFont="1" applyBorder="1" applyProtection="1"/>
    <xf numFmtId="2" fontId="14" fillId="0" borderId="0" xfId="0" applyNumberFormat="1" applyFont="1" applyBorder="1" applyAlignment="1" applyProtection="1">
      <alignment vertical="center"/>
    </xf>
    <xf numFmtId="0" fontId="7" fillId="5" borderId="19" xfId="0" applyFont="1" applyFill="1" applyBorder="1" applyProtection="1"/>
    <xf numFmtId="0" fontId="23" fillId="7" borderId="19" xfId="0" applyFont="1" applyFill="1" applyBorder="1" applyProtection="1"/>
    <xf numFmtId="0" fontId="2" fillId="0" borderId="0" xfId="0" applyFont="1" applyProtection="1"/>
    <xf numFmtId="0" fontId="27" fillId="0" borderId="0" xfId="0" applyFont="1" applyProtection="1"/>
    <xf numFmtId="0" fontId="0" fillId="0" borderId="0" xfId="0" applyFill="1" applyBorder="1" applyAlignment="1" applyProtection="1"/>
    <xf numFmtId="2" fontId="8" fillId="0" borderId="0" xfId="0" applyNumberFormat="1" applyFont="1" applyFill="1" applyBorder="1" applyProtection="1"/>
    <xf numFmtId="2" fontId="4" fillId="0" borderId="0" xfId="0" applyNumberFormat="1" applyFont="1" applyProtection="1"/>
    <xf numFmtId="0" fontId="0" fillId="0" borderId="0" xfId="0" applyFill="1" applyBorder="1" applyProtection="1"/>
    <xf numFmtId="0" fontId="4" fillId="0" borderId="0" xfId="0" applyFont="1" applyFill="1" applyBorder="1" applyProtection="1"/>
    <xf numFmtId="2" fontId="4" fillId="0" borderId="0" xfId="0" applyNumberFormat="1" applyFont="1" applyFill="1" applyBorder="1" applyAlignment="1" applyProtection="1">
      <alignment horizontal="right"/>
    </xf>
    <xf numFmtId="0" fontId="0" fillId="0" borderId="0" xfId="0" applyBorder="1" applyAlignment="1" applyProtection="1">
      <alignment horizontal="left"/>
    </xf>
    <xf numFmtId="0" fontId="4" fillId="0" borderId="0" xfId="0" applyFont="1" applyProtection="1"/>
    <xf numFmtId="0" fontId="0" fillId="0" borderId="0" xfId="0" applyFill="1" applyBorder="1" applyAlignment="1" applyProtection="1">
      <alignment horizontal="center"/>
    </xf>
    <xf numFmtId="0" fontId="2" fillId="0" borderId="6" xfId="0" quotePrefix="1" applyFont="1" applyBorder="1" applyAlignment="1" applyProtection="1">
      <alignment horizontal="left"/>
    </xf>
    <xf numFmtId="0" fontId="2" fillId="0" borderId="0" xfId="0" quotePrefix="1" applyFont="1" applyBorder="1" applyAlignment="1" applyProtection="1">
      <alignment horizontal="left"/>
    </xf>
    <xf numFmtId="0" fontId="8" fillId="0" borderId="0" xfId="0" applyFont="1" applyBorder="1" applyAlignment="1" applyProtection="1">
      <alignment horizontal="left"/>
    </xf>
    <xf numFmtId="0" fontId="0" fillId="0" borderId="0" xfId="0" applyBorder="1" applyAlignment="1" applyProtection="1">
      <alignment horizontal="right"/>
    </xf>
    <xf numFmtId="0" fontId="0" fillId="0" borderId="14" xfId="0" applyBorder="1" applyAlignment="1" applyProtection="1"/>
    <xf numFmtId="0" fontId="8" fillId="0" borderId="0" xfId="0" applyFont="1" applyProtection="1"/>
    <xf numFmtId="4" fontId="0" fillId="2" borderId="12" xfId="0" applyNumberFormat="1" applyFill="1" applyBorder="1" applyProtection="1">
      <protection locked="0"/>
    </xf>
    <xf numFmtId="0" fontId="26" fillId="9" borderId="0" xfId="0" applyFont="1" applyFill="1" applyBorder="1" applyAlignment="1" applyProtection="1">
      <alignment horizontal="left"/>
    </xf>
    <xf numFmtId="4" fontId="30" fillId="9" borderId="0" xfId="0" applyNumberFormat="1" applyFont="1" applyFill="1" applyBorder="1" applyProtection="1">
      <protection hidden="1"/>
    </xf>
    <xf numFmtId="14" fontId="32" fillId="0" borderId="11" xfId="0" applyNumberFormat="1" applyFont="1" applyBorder="1" applyAlignment="1">
      <alignment horizontal="center"/>
    </xf>
    <xf numFmtId="14" fontId="32" fillId="0" borderId="11" xfId="0" applyNumberFormat="1" applyFont="1" applyFill="1" applyBorder="1" applyAlignment="1">
      <alignment horizontal="center"/>
    </xf>
    <xf numFmtId="1" fontId="27" fillId="0" borderId="2" xfId="0" applyNumberFormat="1" applyFont="1" applyBorder="1" applyAlignment="1">
      <alignment horizontal="center"/>
    </xf>
    <xf numFmtId="14" fontId="33" fillId="0" borderId="11" xfId="0" applyNumberFormat="1" applyFont="1" applyBorder="1" applyAlignment="1">
      <alignment horizontal="center"/>
    </xf>
    <xf numFmtId="4" fontId="2" fillId="2" borderId="29" xfId="0" applyNumberFormat="1" applyFont="1" applyFill="1" applyBorder="1" applyProtection="1">
      <protection locked="0"/>
    </xf>
    <xf numFmtId="4" fontId="2" fillId="2" borderId="3" xfId="0" applyNumberFormat="1" applyFont="1" applyFill="1" applyBorder="1" applyProtection="1">
      <protection locked="0"/>
    </xf>
    <xf numFmtId="4" fontId="2" fillId="2" borderId="46" xfId="0" applyNumberFormat="1" applyFont="1" applyFill="1" applyBorder="1" applyProtection="1">
      <protection locked="0"/>
    </xf>
    <xf numFmtId="0" fontId="0" fillId="0" borderId="39" xfId="0" applyBorder="1"/>
    <xf numFmtId="0" fontId="34" fillId="0" borderId="0" xfId="0" applyFont="1"/>
    <xf numFmtId="0" fontId="34" fillId="0" borderId="20" xfId="0" applyFont="1" applyBorder="1"/>
    <xf numFmtId="0" fontId="34" fillId="0" borderId="21" xfId="0" applyFont="1" applyBorder="1"/>
    <xf numFmtId="2" fontId="34" fillId="2" borderId="34" xfId="0" applyNumberFormat="1" applyFont="1" applyFill="1" applyBorder="1" applyProtection="1">
      <protection locked="0"/>
    </xf>
    <xf numFmtId="2" fontId="35" fillId="0" borderId="12" xfId="0" applyNumberFormat="1" applyFont="1" applyBorder="1"/>
    <xf numFmtId="2" fontId="36" fillId="7" borderId="39" xfId="0" applyNumberFormat="1" applyFont="1" applyFill="1" applyBorder="1"/>
    <xf numFmtId="0" fontId="37" fillId="0" borderId="0" xfId="0" applyFont="1"/>
    <xf numFmtId="0" fontId="0" fillId="0" borderId="5" xfId="0" applyBorder="1" applyAlignment="1" applyProtection="1">
      <alignment horizontal="right"/>
    </xf>
    <xf numFmtId="2" fontId="9" fillId="8" borderId="12" xfId="0" applyNumberFormat="1" applyFont="1" applyFill="1" applyBorder="1"/>
    <xf numFmtId="2" fontId="23" fillId="8" borderId="39" xfId="0" applyNumberFormat="1" applyFont="1" applyFill="1" applyBorder="1"/>
    <xf numFmtId="2" fontId="23" fillId="7" borderId="0" xfId="0" applyNumberFormat="1" applyFont="1" applyFill="1" applyBorder="1"/>
    <xf numFmtId="2" fontId="23" fillId="8" borderId="0" xfId="0" applyNumberFormat="1" applyFont="1" applyFill="1" applyBorder="1"/>
    <xf numFmtId="168" fontId="2" fillId="0" borderId="14" xfId="0" applyNumberFormat="1" applyFont="1" applyBorder="1"/>
    <xf numFmtId="2" fontId="9" fillId="0" borderId="0" xfId="0" applyNumberFormat="1" applyFont="1" applyBorder="1" applyProtection="1"/>
    <xf numFmtId="2" fontId="25" fillId="0" borderId="0" xfId="0" applyNumberFormat="1" applyFont="1" applyBorder="1" applyProtection="1"/>
    <xf numFmtId="2" fontId="23" fillId="7" borderId="19" xfId="0" applyNumberFormat="1" applyFont="1" applyFill="1" applyBorder="1"/>
    <xf numFmtId="0" fontId="9" fillId="0" borderId="35" xfId="0" applyFont="1" applyBorder="1" applyAlignment="1">
      <alignment horizontal="left"/>
    </xf>
    <xf numFmtId="0" fontId="9" fillId="0" borderId="0" xfId="0" applyFont="1" applyBorder="1" applyAlignment="1">
      <alignment horizontal="left"/>
    </xf>
    <xf numFmtId="0" fontId="9" fillId="0" borderId="14" xfId="0" applyFont="1" applyBorder="1" applyAlignment="1">
      <alignment horizontal="left"/>
    </xf>
    <xf numFmtId="0" fontId="25" fillId="0" borderId="0" xfId="0" applyFont="1" applyFill="1" applyBorder="1" applyAlignment="1"/>
    <xf numFmtId="2" fontId="25" fillId="0" borderId="0" xfId="0" applyNumberFormat="1" applyFont="1" applyFill="1" applyBorder="1" applyProtection="1">
      <protection locked="0"/>
    </xf>
    <xf numFmtId="0" fontId="25" fillId="0" borderId="35" xfId="0" applyFont="1" applyBorder="1" applyAlignment="1">
      <alignment horizontal="left"/>
    </xf>
    <xf numFmtId="2" fontId="25" fillId="0" borderId="0" xfId="0" applyNumberFormat="1" applyFont="1"/>
    <xf numFmtId="2" fontId="27" fillId="5" borderId="0" xfId="0" applyNumberFormat="1" applyFont="1" applyFill="1" applyBorder="1"/>
    <xf numFmtId="2" fontId="25" fillId="5" borderId="0" xfId="0" applyNumberFormat="1" applyFont="1" applyFill="1" applyBorder="1"/>
    <xf numFmtId="0" fontId="27" fillId="5" borderId="19" xfId="0" applyFont="1" applyFill="1" applyBorder="1"/>
    <xf numFmtId="0" fontId="27" fillId="5" borderId="0" xfId="0" applyFont="1" applyFill="1" applyBorder="1"/>
    <xf numFmtId="0" fontId="27" fillId="7" borderId="19" xfId="0" applyFont="1" applyFill="1" applyBorder="1"/>
    <xf numFmtId="0" fontId="25" fillId="0" borderId="0" xfId="0" applyFont="1" applyFill="1" applyBorder="1"/>
    <xf numFmtId="2" fontId="25" fillId="0" borderId="0" xfId="0" applyNumberFormat="1" applyFont="1" applyFill="1" applyBorder="1" applyAlignment="1">
      <alignment horizontal="right"/>
    </xf>
    <xf numFmtId="0" fontId="25" fillId="0" borderId="0" xfId="0" applyFont="1" applyBorder="1" applyAlignment="1">
      <alignment horizontal="left"/>
    </xf>
    <xf numFmtId="0" fontId="27" fillId="0" borderId="0" xfId="0" applyFont="1"/>
    <xf numFmtId="0" fontId="25" fillId="0" borderId="14" xfId="0" applyFont="1" applyBorder="1" applyAlignment="1">
      <alignment horizontal="left"/>
    </xf>
    <xf numFmtId="2" fontId="9" fillId="4" borderId="31" xfId="0" applyNumberFormat="1" applyFont="1" applyFill="1" applyBorder="1" applyAlignment="1" applyProtection="1">
      <protection locked="0"/>
    </xf>
    <xf numFmtId="2" fontId="38" fillId="4" borderId="31" xfId="0" applyNumberFormat="1" applyFont="1" applyFill="1" applyBorder="1" applyAlignment="1" applyProtection="1">
      <protection locked="0"/>
    </xf>
    <xf numFmtId="2" fontId="38" fillId="6" borderId="12" xfId="0" applyNumberFormat="1" applyFont="1" applyFill="1" applyBorder="1" applyAlignment="1" applyProtection="1">
      <protection locked="0"/>
    </xf>
    <xf numFmtId="2" fontId="9" fillId="6" borderId="12" xfId="0" applyNumberFormat="1" applyFont="1" applyFill="1" applyBorder="1" applyAlignment="1" applyProtection="1">
      <protection locked="0"/>
    </xf>
    <xf numFmtId="2" fontId="9" fillId="0" borderId="51" xfId="0" applyNumberFormat="1" applyFont="1" applyFill="1" applyBorder="1" applyAlignment="1">
      <alignment vertical="center"/>
    </xf>
    <xf numFmtId="2" fontId="9" fillId="0" borderId="45" xfId="0" applyNumberFormat="1" applyFont="1" applyFill="1" applyBorder="1" applyAlignment="1">
      <alignment vertical="center"/>
    </xf>
    <xf numFmtId="0" fontId="15" fillId="4" borderId="37" xfId="0" applyFont="1" applyFill="1" applyBorder="1" applyAlignment="1">
      <alignment horizontal="left" vertical="center" wrapText="1"/>
    </xf>
    <xf numFmtId="0" fontId="15" fillId="6" borderId="34" xfId="0" applyFont="1" applyFill="1" applyBorder="1" applyAlignment="1">
      <alignment horizontal="left" vertical="center" wrapText="1"/>
    </xf>
    <xf numFmtId="0" fontId="15" fillId="6" borderId="10" xfId="0" applyFont="1" applyFill="1" applyBorder="1" applyAlignment="1">
      <alignment horizontal="left" vertical="center" wrapText="1"/>
    </xf>
    <xf numFmtId="0" fontId="14" fillId="0" borderId="1" xfId="0" applyFont="1" applyBorder="1"/>
    <xf numFmtId="0" fontId="14" fillId="4" borderId="13" xfId="0" applyFont="1" applyFill="1" applyBorder="1" applyAlignment="1">
      <alignment wrapText="1"/>
    </xf>
    <xf numFmtId="0" fontId="15" fillId="6" borderId="13" xfId="0" applyFont="1" applyFill="1" applyBorder="1" applyAlignment="1">
      <alignment wrapText="1"/>
    </xf>
    <xf numFmtId="0" fontId="15" fillId="6" borderId="1" xfId="0" applyFont="1" applyFill="1" applyBorder="1" applyAlignment="1">
      <alignment wrapText="1"/>
    </xf>
    <xf numFmtId="0" fontId="15" fillId="0" borderId="10" xfId="0" applyFont="1" applyBorder="1" applyAlignment="1">
      <alignment horizontal="right" vertical="center" wrapText="1"/>
    </xf>
    <xf numFmtId="2" fontId="38" fillId="0" borderId="12" xfId="0" applyNumberFormat="1" applyFont="1" applyBorder="1" applyProtection="1">
      <protection locked="0"/>
    </xf>
    <xf numFmtId="2" fontId="9" fillId="0" borderId="0" xfId="0" applyNumberFormat="1" applyFont="1" applyBorder="1"/>
    <xf numFmtId="2" fontId="9" fillId="0" borderId="51" xfId="0" applyNumberFormat="1" applyFont="1" applyBorder="1" applyAlignment="1">
      <alignment vertical="center"/>
    </xf>
    <xf numFmtId="2" fontId="9" fillId="6" borderId="45" xfId="0" applyNumberFormat="1" applyFont="1" applyFill="1" applyBorder="1" applyAlignment="1">
      <alignment vertical="center"/>
    </xf>
    <xf numFmtId="2" fontId="9" fillId="0" borderId="1" xfId="0" applyNumberFormat="1" applyFont="1" applyFill="1" applyBorder="1"/>
    <xf numFmtId="0" fontId="14" fillId="0" borderId="1" xfId="0" applyFont="1" applyBorder="1" applyProtection="1"/>
    <xf numFmtId="0" fontId="14" fillId="4" borderId="13" xfId="0" applyFont="1" applyFill="1" applyBorder="1" applyAlignment="1" applyProtection="1">
      <alignment wrapText="1"/>
    </xf>
    <xf numFmtId="0" fontId="15" fillId="6" borderId="13" xfId="0" applyFont="1" applyFill="1" applyBorder="1" applyAlignment="1" applyProtection="1">
      <alignment wrapText="1"/>
    </xf>
    <xf numFmtId="0" fontId="15" fillId="6" borderId="1" xfId="0" applyFont="1" applyFill="1" applyBorder="1" applyAlignment="1" applyProtection="1">
      <alignment wrapText="1"/>
    </xf>
    <xf numFmtId="0" fontId="15" fillId="4" borderId="37" xfId="0" applyFont="1" applyFill="1" applyBorder="1" applyAlignment="1" applyProtection="1">
      <alignment horizontal="left" vertical="center" wrapText="1"/>
    </xf>
    <xf numFmtId="0" fontId="15" fillId="6" borderId="10" xfId="0" applyFont="1" applyFill="1" applyBorder="1" applyAlignment="1" applyProtection="1">
      <alignment horizontal="left" vertical="center" wrapText="1"/>
    </xf>
    <xf numFmtId="2" fontId="25" fillId="4" borderId="31" xfId="0" applyNumberFormat="1" applyFont="1" applyFill="1" applyBorder="1" applyAlignment="1" applyProtection="1">
      <protection locked="0"/>
    </xf>
    <xf numFmtId="2" fontId="36" fillId="7" borderId="39" xfId="0" applyNumberFormat="1" applyFont="1" applyFill="1" applyBorder="1" applyProtection="1">
      <protection locked="0"/>
    </xf>
    <xf numFmtId="2" fontId="36" fillId="7" borderId="0" xfId="0" applyNumberFormat="1" applyFont="1" applyFill="1" applyBorder="1" applyProtection="1">
      <protection locked="0"/>
    </xf>
    <xf numFmtId="2" fontId="25" fillId="6" borderId="12" xfId="0" applyNumberFormat="1" applyFont="1" applyFill="1" applyBorder="1" applyAlignment="1" applyProtection="1">
      <protection locked="0"/>
    </xf>
    <xf numFmtId="2" fontId="25" fillId="0" borderId="51" xfId="0" applyNumberFormat="1" applyFont="1" applyBorder="1" applyAlignment="1" applyProtection="1">
      <alignment vertical="center"/>
    </xf>
    <xf numFmtId="2" fontId="25" fillId="6" borderId="45" xfId="0" applyNumberFormat="1" applyFont="1" applyFill="1" applyBorder="1" applyAlignment="1" applyProtection="1">
      <alignment vertical="center"/>
    </xf>
    <xf numFmtId="0" fontId="9" fillId="0" borderId="35" xfId="0" applyFont="1" applyBorder="1" applyAlignment="1" applyProtection="1">
      <alignment horizontal="left"/>
    </xf>
    <xf numFmtId="0" fontId="9" fillId="0" borderId="0" xfId="0" quotePrefix="1" applyFont="1" applyBorder="1" applyAlignment="1" applyProtection="1">
      <alignment horizontal="left"/>
    </xf>
    <xf numFmtId="0" fontId="9" fillId="0" borderId="0" xfId="0" applyFont="1" applyBorder="1" applyAlignment="1" applyProtection="1">
      <alignment horizontal="left"/>
    </xf>
    <xf numFmtId="0" fontId="9" fillId="0" borderId="14" xfId="0" applyFont="1" applyBorder="1" applyAlignment="1" applyProtection="1">
      <alignment horizontal="left"/>
    </xf>
    <xf numFmtId="0" fontId="15" fillId="4" borderId="37" xfId="0" applyFont="1" applyFill="1" applyBorder="1" applyAlignment="1" applyProtection="1">
      <alignment horizontal="left" vertical="center" wrapText="1"/>
      <protection locked="0"/>
    </xf>
    <xf numFmtId="0" fontId="15" fillId="6" borderId="34" xfId="0" applyFont="1" applyFill="1" applyBorder="1" applyAlignment="1" applyProtection="1">
      <alignment horizontal="left" vertical="center" wrapText="1"/>
      <protection locked="0"/>
    </xf>
    <xf numFmtId="0" fontId="15" fillId="6" borderId="10" xfId="0" applyFont="1" applyFill="1" applyBorder="1" applyAlignment="1" applyProtection="1">
      <alignment horizontal="left" vertical="center" wrapText="1"/>
      <protection locked="0"/>
    </xf>
    <xf numFmtId="2" fontId="22" fillId="4" borderId="31" xfId="0" applyNumberFormat="1" applyFont="1" applyFill="1" applyBorder="1" applyAlignment="1" applyProtection="1">
      <protection locked="0"/>
    </xf>
    <xf numFmtId="2" fontId="22" fillId="6" borderId="12" xfId="0" applyNumberFormat="1" applyFont="1" applyFill="1" applyBorder="1" applyAlignment="1" applyProtection="1">
      <protection locked="0"/>
    </xf>
    <xf numFmtId="2" fontId="25" fillId="0" borderId="51" xfId="0" applyNumberFormat="1" applyFont="1" applyBorder="1" applyAlignment="1">
      <alignment vertical="center"/>
    </xf>
    <xf numFmtId="2" fontId="25" fillId="6" borderId="45" xfId="0" applyNumberFormat="1" applyFont="1" applyFill="1" applyBorder="1" applyAlignment="1">
      <alignment vertical="center"/>
    </xf>
    <xf numFmtId="2" fontId="9" fillId="6" borderId="35" xfId="0" applyNumberFormat="1" applyFont="1" applyFill="1" applyBorder="1" applyAlignment="1">
      <alignment vertical="center"/>
    </xf>
    <xf numFmtId="0" fontId="15" fillId="6" borderId="21" xfId="0" applyFont="1" applyFill="1" applyBorder="1" applyAlignment="1">
      <alignment horizontal="left" vertical="center" wrapText="1"/>
    </xf>
    <xf numFmtId="0" fontId="15" fillId="6" borderId="19" xfId="0" applyFont="1" applyFill="1" applyBorder="1" applyAlignment="1">
      <alignment horizontal="right" vertical="center"/>
    </xf>
    <xf numFmtId="2" fontId="1" fillId="6" borderId="4" xfId="0" applyNumberFormat="1" applyFont="1" applyFill="1" applyBorder="1" applyAlignment="1" applyProtection="1">
      <protection locked="0"/>
    </xf>
    <xf numFmtId="1" fontId="7" fillId="0" borderId="2" xfId="0" applyNumberFormat="1" applyFont="1" applyFill="1" applyBorder="1" applyAlignment="1" applyProtection="1">
      <alignment horizontal="center"/>
    </xf>
    <xf numFmtId="1" fontId="31" fillId="0" borderId="2" xfId="0" applyNumberFormat="1" applyFont="1" applyFill="1" applyBorder="1" applyAlignment="1">
      <alignment horizontal="center"/>
    </xf>
    <xf numFmtId="20" fontId="38" fillId="2" borderId="4" xfId="0" applyNumberFormat="1" applyFont="1" applyFill="1" applyBorder="1" applyProtection="1">
      <protection locked="0"/>
    </xf>
    <xf numFmtId="2" fontId="38" fillId="0" borderId="3" xfId="0" applyNumberFormat="1" applyFont="1" applyBorder="1"/>
    <xf numFmtId="0" fontId="4" fillId="0" borderId="4" xfId="0" applyFont="1" applyBorder="1" applyAlignment="1">
      <alignment horizontal="left"/>
    </xf>
    <xf numFmtId="4" fontId="6" fillId="2" borderId="4" xfId="0" applyNumberFormat="1" applyFont="1" applyFill="1" applyBorder="1" applyProtection="1">
      <protection locked="0"/>
    </xf>
    <xf numFmtId="2" fontId="25" fillId="6" borderId="35" xfId="0" applyNumberFormat="1" applyFont="1" applyFill="1" applyBorder="1" applyAlignment="1" applyProtection="1">
      <alignment vertical="center"/>
    </xf>
    <xf numFmtId="0" fontId="15" fillId="6" borderId="21" xfId="0" applyFont="1" applyFill="1" applyBorder="1" applyAlignment="1" applyProtection="1">
      <alignment horizontal="left" vertical="center" wrapText="1"/>
    </xf>
    <xf numFmtId="0" fontId="15" fillId="6" borderId="19" xfId="0" applyFont="1" applyFill="1" applyBorder="1" applyAlignment="1" applyProtection="1">
      <alignment horizontal="right" vertical="center"/>
    </xf>
    <xf numFmtId="2" fontId="9" fillId="6" borderId="3" xfId="0" applyNumberFormat="1" applyFont="1" applyFill="1" applyBorder="1" applyAlignment="1" applyProtection="1">
      <protection locked="0"/>
    </xf>
    <xf numFmtId="2" fontId="9" fillId="0" borderId="34" xfId="0" applyNumberFormat="1" applyFont="1" applyFill="1" applyBorder="1" applyAlignment="1">
      <alignment vertical="center"/>
    </xf>
    <xf numFmtId="0" fontId="15" fillId="6" borderId="29" xfId="0" applyFont="1" applyFill="1" applyBorder="1" applyAlignment="1">
      <alignment horizontal="right" vertical="center"/>
    </xf>
    <xf numFmtId="2" fontId="25" fillId="6" borderId="35" xfId="0" applyNumberFormat="1" applyFont="1" applyFill="1" applyBorder="1" applyAlignment="1">
      <alignment vertical="center"/>
    </xf>
    <xf numFmtId="2" fontId="25" fillId="6" borderId="3" xfId="0" applyNumberFormat="1" applyFont="1" applyFill="1" applyBorder="1" applyAlignment="1" applyProtection="1">
      <protection locked="0"/>
    </xf>
    <xf numFmtId="2" fontId="25" fillId="0" borderId="34" xfId="0" applyNumberFormat="1" applyFont="1" applyFill="1" applyBorder="1" applyAlignment="1">
      <alignment vertical="center"/>
    </xf>
    <xf numFmtId="2" fontId="1" fillId="6" borderId="3" xfId="0" applyNumberFormat="1" applyFont="1" applyFill="1" applyBorder="1" applyAlignment="1" applyProtection="1">
      <protection locked="0"/>
    </xf>
    <xf numFmtId="2" fontId="25" fillId="0" borderId="34" xfId="0" applyNumberFormat="1" applyFont="1" applyFill="1" applyBorder="1" applyAlignment="1" applyProtection="1">
      <alignment vertical="center"/>
    </xf>
    <xf numFmtId="2" fontId="14" fillId="6" borderId="35" xfId="0" applyNumberFormat="1" applyFont="1" applyFill="1" applyBorder="1" applyAlignment="1">
      <alignment vertical="center"/>
    </xf>
    <xf numFmtId="0" fontId="7" fillId="5" borderId="38" xfId="0" applyFont="1" applyFill="1" applyBorder="1" applyAlignment="1">
      <alignment horizontal="right" vertical="center" wrapText="1"/>
    </xf>
    <xf numFmtId="0" fontId="7" fillId="5" borderId="52" xfId="0" applyFont="1" applyFill="1" applyBorder="1"/>
    <xf numFmtId="0" fontId="0" fillId="0" borderId="0" xfId="0" applyBorder="1" applyAlignment="1">
      <alignment wrapText="1"/>
    </xf>
    <xf numFmtId="0" fontId="19" fillId="0" borderId="0" xfId="0" applyFont="1" applyBorder="1"/>
    <xf numFmtId="2" fontId="4" fillId="0" borderId="0" xfId="0" applyNumberFormat="1" applyFont="1" applyBorder="1"/>
    <xf numFmtId="2" fontId="0" fillId="0" borderId="0" xfId="0" applyNumberFormat="1" applyBorder="1"/>
    <xf numFmtId="1" fontId="34" fillId="0" borderId="34" xfId="0" applyNumberFormat="1" applyFont="1" applyFill="1" applyBorder="1" applyProtection="1"/>
    <xf numFmtId="2" fontId="40" fillId="2" borderId="2" xfId="0" applyNumberFormat="1" applyFont="1" applyFill="1" applyBorder="1" applyProtection="1">
      <protection locked="0"/>
    </xf>
    <xf numFmtId="20" fontId="41" fillId="2" borderId="4" xfId="0" applyNumberFormat="1" applyFont="1" applyFill="1" applyBorder="1" applyProtection="1">
      <protection locked="0"/>
    </xf>
    <xf numFmtId="2" fontId="41" fillId="0" borderId="3" xfId="0" applyNumberFormat="1" applyFont="1" applyBorder="1"/>
    <xf numFmtId="2" fontId="41" fillId="0" borderId="12" xfId="0" applyNumberFormat="1" applyFont="1" applyBorder="1"/>
    <xf numFmtId="1" fontId="42" fillId="0" borderId="2" xfId="0" applyNumberFormat="1" applyFont="1" applyBorder="1" applyAlignment="1">
      <alignment horizontal="center"/>
    </xf>
    <xf numFmtId="14" fontId="43" fillId="0" borderId="11" xfId="0" applyNumberFormat="1" applyFont="1" applyBorder="1" applyAlignment="1">
      <alignment horizontal="center"/>
    </xf>
    <xf numFmtId="1" fontId="44" fillId="0" borderId="2" xfId="0" applyNumberFormat="1" applyFont="1" applyBorder="1" applyAlignment="1">
      <alignment horizontal="center"/>
    </xf>
    <xf numFmtId="0" fontId="6" fillId="2" borderId="12" xfId="0" applyFont="1" applyFill="1" applyBorder="1" applyAlignment="1" applyProtection="1">
      <alignment horizontal="left"/>
      <protection locked="0"/>
    </xf>
    <xf numFmtId="165" fontId="6" fillId="2" borderId="12" xfId="0" applyNumberFormat="1" applyFont="1" applyFill="1" applyBorder="1" applyAlignment="1" applyProtection="1">
      <alignment horizontal="left"/>
      <protection locked="0"/>
    </xf>
    <xf numFmtId="0" fontId="4" fillId="0" borderId="0" xfId="0" applyFont="1" applyBorder="1" applyAlignment="1">
      <alignment horizontal="left"/>
    </xf>
    <xf numFmtId="0" fontId="2" fillId="3" borderId="8" xfId="0" applyFont="1" applyFill="1" applyBorder="1" applyAlignment="1">
      <alignment horizontal="left"/>
    </xf>
    <xf numFmtId="0" fontId="2" fillId="3" borderId="17" xfId="0" applyFont="1" applyFill="1" applyBorder="1" applyAlignment="1">
      <alignment horizontal="left"/>
    </xf>
    <xf numFmtId="0" fontId="2" fillId="3" borderId="10" xfId="0" applyFont="1" applyFill="1" applyBorder="1" applyAlignment="1">
      <alignment horizontal="left"/>
    </xf>
    <xf numFmtId="0" fontId="2" fillId="0" borderId="15" xfId="0" applyFont="1" applyBorder="1" applyAlignment="1">
      <alignment horizontal="left"/>
    </xf>
    <xf numFmtId="0" fontId="2" fillId="0" borderId="12" xfId="0" applyFont="1" applyBorder="1" applyAlignment="1">
      <alignment horizontal="left"/>
    </xf>
    <xf numFmtId="0" fontId="26" fillId="9" borderId="0" xfId="0" applyFont="1" applyFill="1" applyBorder="1" applyAlignment="1" applyProtection="1">
      <alignment horizontal="left"/>
    </xf>
    <xf numFmtId="0" fontId="39" fillId="0" borderId="4" xfId="0" applyFont="1" applyBorder="1" applyAlignment="1">
      <alignment horizontal="left"/>
    </xf>
    <xf numFmtId="0" fontId="2" fillId="3" borderId="8" xfId="0" applyFont="1" applyFill="1" applyBorder="1" applyAlignment="1">
      <alignment horizontal="center"/>
    </xf>
    <xf numFmtId="0" fontId="2" fillId="3" borderId="10" xfId="0" applyFont="1" applyFill="1" applyBorder="1" applyAlignment="1">
      <alignment horizontal="center"/>
    </xf>
    <xf numFmtId="0" fontId="2" fillId="3" borderId="17" xfId="0" applyFont="1" applyFill="1" applyBorder="1" applyAlignment="1">
      <alignment horizontal="center"/>
    </xf>
    <xf numFmtId="0" fontId="6" fillId="0" borderId="0" xfId="0" applyFont="1" applyFill="1" applyBorder="1" applyAlignment="1">
      <alignment horizontal="center" vertical="top"/>
    </xf>
    <xf numFmtId="0" fontId="12" fillId="11" borderId="53" xfId="0" applyFont="1" applyFill="1" applyBorder="1" applyAlignment="1">
      <alignment horizontal="center" vertical="top"/>
    </xf>
    <xf numFmtId="0" fontId="12" fillId="11" borderId="54" xfId="0" applyFont="1" applyFill="1" applyBorder="1" applyAlignment="1">
      <alignment horizontal="center" vertical="top"/>
    </xf>
    <xf numFmtId="0" fontId="4" fillId="0" borderId="0" xfId="0" applyFont="1" applyFill="1" applyBorder="1" applyAlignment="1">
      <alignment horizontal="left" wrapText="1"/>
    </xf>
    <xf numFmtId="0" fontId="3" fillId="0" borderId="0" xfId="0" applyFont="1" applyFill="1" applyBorder="1" applyAlignment="1">
      <alignment horizontal="left" vertical="top" wrapText="1"/>
    </xf>
    <xf numFmtId="0" fontId="4" fillId="0" borderId="0" xfId="0" applyFont="1" applyFill="1" applyBorder="1" applyAlignment="1" applyProtection="1">
      <alignment horizontal="left" wrapText="1"/>
    </xf>
    <xf numFmtId="0" fontId="0" fillId="0" borderId="0" xfId="0" applyAlignment="1" applyProtection="1"/>
    <xf numFmtId="0" fontId="13" fillId="10" borderId="8" xfId="0" applyFont="1" applyFill="1" applyBorder="1" applyAlignment="1">
      <alignment horizontal="center"/>
    </xf>
    <xf numFmtId="0" fontId="13" fillId="10" borderId="17" xfId="0" applyFont="1" applyFill="1" applyBorder="1" applyAlignment="1">
      <alignment horizontal="center"/>
    </xf>
    <xf numFmtId="0" fontId="4" fillId="0" borderId="0" xfId="0" applyFont="1" applyFill="1" applyBorder="1" applyAlignment="1">
      <alignment vertical="top" wrapText="1"/>
    </xf>
    <xf numFmtId="0" fontId="8" fillId="0" borderId="0" xfId="0" applyFont="1" applyFill="1" applyBorder="1" applyAlignment="1">
      <alignment wrapText="1"/>
    </xf>
    <xf numFmtId="0" fontId="4" fillId="0" borderId="0" xfId="0" applyFont="1" applyFill="1" applyBorder="1" applyAlignment="1">
      <alignment horizontal="left" vertical="top" wrapText="1"/>
    </xf>
    <xf numFmtId="0" fontId="12" fillId="11" borderId="53" xfId="0" applyFont="1" applyFill="1" applyBorder="1" applyAlignment="1">
      <alignment horizontal="center"/>
    </xf>
    <xf numFmtId="0" fontId="12" fillId="11" borderId="54" xfId="0" applyFont="1" applyFill="1" applyBorder="1" applyAlignment="1">
      <alignment horizontal="center"/>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0" fillId="0" borderId="9" xfId="0" applyBorder="1" applyAlignment="1" applyProtection="1"/>
    <xf numFmtId="0" fontId="0" fillId="0" borderId="14" xfId="0" applyBorder="1" applyAlignment="1" applyProtection="1"/>
    <xf numFmtId="0" fontId="7" fillId="0" borderId="9" xfId="0" quotePrefix="1" applyFont="1" applyBorder="1" applyAlignment="1" applyProtection="1">
      <alignment horizontal="left"/>
    </xf>
    <xf numFmtId="0" fontId="7" fillId="0" borderId="14" xfId="0" quotePrefix="1" applyFont="1" applyBorder="1" applyAlignment="1" applyProtection="1">
      <alignment horizontal="left"/>
    </xf>
    <xf numFmtId="0" fontId="9" fillId="0" borderId="14" xfId="0" applyFont="1" applyBorder="1" applyAlignment="1" applyProtection="1">
      <alignment horizontal="left"/>
    </xf>
    <xf numFmtId="0" fontId="7" fillId="0" borderId="53" xfId="0" applyFont="1" applyBorder="1" applyAlignment="1" applyProtection="1">
      <alignment horizontal="left"/>
    </xf>
    <xf numFmtId="0" fontId="7" fillId="0" borderId="35" xfId="0" applyFont="1" applyBorder="1" applyAlignment="1" applyProtection="1">
      <alignment horizontal="left"/>
    </xf>
    <xf numFmtId="0" fontId="9" fillId="0" borderId="35" xfId="0" applyFont="1" applyBorder="1" applyAlignment="1" applyProtection="1">
      <alignment horizontal="left"/>
    </xf>
    <xf numFmtId="0" fontId="9" fillId="0" borderId="6" xfId="0" quotePrefix="1" applyFont="1" applyBorder="1" applyAlignment="1" applyProtection="1">
      <alignment horizontal="left"/>
    </xf>
    <xf numFmtId="0" fontId="9" fillId="0" borderId="0" xfId="0" quotePrefix="1" applyFont="1" applyBorder="1" applyAlignment="1" applyProtection="1">
      <alignment horizontal="left"/>
    </xf>
    <xf numFmtId="0" fontId="9" fillId="0" borderId="0" xfId="0" applyFont="1" applyBorder="1" applyAlignment="1" applyProtection="1">
      <alignment horizontal="left"/>
    </xf>
    <xf numFmtId="2" fontId="1" fillId="0" borderId="14" xfId="0" applyNumberFormat="1" applyFont="1" applyFill="1" applyBorder="1" applyAlignment="1" applyProtection="1"/>
    <xf numFmtId="0" fontId="1" fillId="0" borderId="14" xfId="0" applyFont="1" applyFill="1" applyBorder="1" applyAlignment="1" applyProtection="1"/>
    <xf numFmtId="0" fontId="1" fillId="0" borderId="7" xfId="0" applyFont="1" applyFill="1" applyBorder="1" applyAlignment="1" applyProtection="1"/>
    <xf numFmtId="2" fontId="7" fillId="0" borderId="35" xfId="0" applyNumberFormat="1" applyFont="1" applyFill="1" applyBorder="1" applyAlignment="1" applyProtection="1">
      <alignment horizontal="right"/>
    </xf>
    <xf numFmtId="0" fontId="9" fillId="0" borderId="35" xfId="0" applyFont="1" applyBorder="1" applyAlignment="1" applyProtection="1">
      <alignment horizontal="right"/>
    </xf>
    <xf numFmtId="0" fontId="9" fillId="0" borderId="54" xfId="0" applyFont="1" applyBorder="1" applyAlignment="1" applyProtection="1">
      <alignment horizontal="right"/>
    </xf>
    <xf numFmtId="2" fontId="9" fillId="0" borderId="0" xfId="0" applyNumberFormat="1" applyFont="1" applyBorder="1" applyAlignment="1" applyProtection="1">
      <alignment horizontal="right"/>
    </xf>
    <xf numFmtId="0" fontId="9" fillId="0" borderId="5" xfId="0" applyFont="1" applyBorder="1" applyAlignment="1" applyProtection="1">
      <alignment horizontal="right"/>
    </xf>
    <xf numFmtId="2" fontId="9" fillId="0" borderId="0" xfId="0" applyNumberFormat="1" applyFont="1" applyFill="1" applyBorder="1" applyAlignment="1" applyProtection="1">
      <alignment horizontal="right"/>
    </xf>
    <xf numFmtId="2" fontId="9" fillId="0" borderId="5" xfId="0" applyNumberFormat="1" applyFont="1" applyFill="1" applyBorder="1" applyAlignment="1" applyProtection="1">
      <alignment horizontal="right"/>
    </xf>
    <xf numFmtId="2" fontId="7" fillId="0" borderId="14" xfId="0" applyNumberFormat="1" applyFont="1" applyBorder="1" applyAlignment="1" applyProtection="1">
      <alignment horizontal="right"/>
    </xf>
    <xf numFmtId="0" fontId="9" fillId="0" borderId="7" xfId="0" applyFont="1" applyBorder="1" applyAlignment="1" applyProtection="1">
      <alignment horizontal="right"/>
    </xf>
    <xf numFmtId="0" fontId="3" fillId="3" borderId="0" xfId="0" applyFont="1" applyFill="1" applyAlignment="1" applyProtection="1">
      <alignment horizontal="center"/>
    </xf>
    <xf numFmtId="0" fontId="4" fillId="0" borderId="4" xfId="0" applyFont="1" applyBorder="1" applyAlignment="1" applyProtection="1"/>
    <xf numFmtId="0" fontId="4" fillId="0" borderId="4" xfId="0" applyFont="1" applyFill="1" applyBorder="1" applyAlignment="1" applyProtection="1"/>
    <xf numFmtId="165" fontId="6" fillId="0" borderId="31" xfId="0" applyNumberFormat="1" applyFont="1" applyFill="1" applyBorder="1" applyAlignment="1" applyProtection="1">
      <alignment horizontal="left"/>
    </xf>
    <xf numFmtId="165" fontId="6" fillId="0" borderId="12" xfId="0" applyNumberFormat="1" applyFont="1" applyFill="1" applyBorder="1" applyAlignment="1" applyProtection="1">
      <alignment horizontal="left"/>
    </xf>
    <xf numFmtId="0" fontId="4" fillId="0" borderId="31" xfId="0" applyFont="1" applyBorder="1" applyAlignment="1" applyProtection="1"/>
    <xf numFmtId="0" fontId="4" fillId="0" borderId="12" xfId="0" applyFont="1" applyBorder="1" applyAlignment="1" applyProtection="1"/>
    <xf numFmtId="0" fontId="0" fillId="0" borderId="11" xfId="0" applyBorder="1" applyAlignment="1" applyProtection="1"/>
    <xf numFmtId="0" fontId="6" fillId="0" borderId="31" xfId="0" applyFont="1" applyFill="1" applyBorder="1" applyAlignment="1" applyProtection="1"/>
    <xf numFmtId="0" fontId="6" fillId="0" borderId="12" xfId="0" applyFont="1" applyFill="1" applyBorder="1" applyAlignment="1" applyProtection="1"/>
    <xf numFmtId="0" fontId="8" fillId="0" borderId="12" xfId="0" applyFont="1" applyFill="1" applyBorder="1" applyAlignment="1" applyProtection="1"/>
    <xf numFmtId="166" fontId="6" fillId="0" borderId="31" xfId="0" applyNumberFormat="1" applyFont="1" applyFill="1" applyBorder="1" applyAlignment="1" applyProtection="1">
      <alignment horizontal="right"/>
    </xf>
    <xf numFmtId="166" fontId="6" fillId="0" borderId="12" xfId="0" applyNumberFormat="1" applyFont="1" applyFill="1" applyBorder="1" applyAlignment="1" applyProtection="1">
      <alignment horizontal="right"/>
    </xf>
    <xf numFmtId="166" fontId="6" fillId="0" borderId="11" xfId="0" applyNumberFormat="1" applyFont="1" applyFill="1" applyBorder="1" applyAlignment="1" applyProtection="1">
      <alignment horizontal="right"/>
    </xf>
    <xf numFmtId="0" fontId="6" fillId="0" borderId="31" xfId="0" applyFont="1" applyFill="1" applyBorder="1" applyAlignment="1" applyProtection="1">
      <alignment horizontal="right"/>
    </xf>
    <xf numFmtId="0" fontId="6" fillId="0" borderId="12" xfId="0" applyFont="1" applyFill="1" applyBorder="1" applyAlignment="1" applyProtection="1">
      <alignment horizontal="right"/>
    </xf>
    <xf numFmtId="0" fontId="6" fillId="0" borderId="11" xfId="0" applyFont="1" applyFill="1" applyBorder="1" applyAlignment="1" applyProtection="1">
      <alignment horizontal="right"/>
    </xf>
    <xf numFmtId="0" fontId="6" fillId="0" borderId="35" xfId="0" applyFont="1" applyFill="1" applyBorder="1" applyAlignment="1" applyProtection="1">
      <alignment horizontal="center"/>
    </xf>
    <xf numFmtId="2" fontId="26" fillId="0" borderId="10" xfId="0" applyNumberFormat="1" applyFont="1" applyBorder="1" applyAlignment="1" applyProtection="1">
      <alignment horizontal="center" vertical="center"/>
    </xf>
    <xf numFmtId="2" fontId="26" fillId="0" borderId="17" xfId="0" applyNumberFormat="1" applyFont="1" applyBorder="1" applyAlignment="1" applyProtection="1">
      <alignment horizontal="center" vertical="center"/>
    </xf>
    <xf numFmtId="0" fontId="0" fillId="0" borderId="0" xfId="0" applyFill="1" applyBorder="1" applyAlignment="1" applyProtection="1">
      <alignment horizontal="center"/>
    </xf>
    <xf numFmtId="0" fontId="2" fillId="0" borderId="0" xfId="0" applyFont="1" applyFill="1" applyBorder="1" applyAlignment="1" applyProtection="1">
      <alignment horizontal="center"/>
    </xf>
    <xf numFmtId="2" fontId="1" fillId="2" borderId="43" xfId="0" applyNumberFormat="1" applyFont="1" applyFill="1" applyBorder="1" applyAlignment="1" applyProtection="1">
      <protection locked="0"/>
    </xf>
    <xf numFmtId="2" fontId="1" fillId="2" borderId="12" xfId="0" applyNumberFormat="1" applyFont="1" applyFill="1" applyBorder="1" applyAlignment="1" applyProtection="1">
      <protection locked="0"/>
    </xf>
    <xf numFmtId="2" fontId="1" fillId="2" borderId="11" xfId="0" applyNumberFormat="1" applyFont="1" applyFill="1" applyBorder="1" applyAlignment="1" applyProtection="1">
      <protection locked="0"/>
    </xf>
    <xf numFmtId="2" fontId="25" fillId="2" borderId="43" xfId="0" applyNumberFormat="1" applyFont="1" applyFill="1" applyBorder="1" applyAlignment="1" applyProtection="1">
      <protection locked="0"/>
    </xf>
    <xf numFmtId="2" fontId="25" fillId="2" borderId="12" xfId="0" applyNumberFormat="1" applyFont="1" applyFill="1" applyBorder="1" applyAlignment="1" applyProtection="1">
      <protection locked="0"/>
    </xf>
    <xf numFmtId="2" fontId="25" fillId="2" borderId="11" xfId="0" applyNumberFormat="1" applyFont="1" applyFill="1" applyBorder="1" applyAlignment="1" applyProtection="1">
      <protection locked="0"/>
    </xf>
    <xf numFmtId="0" fontId="4" fillId="0" borderId="31" xfId="0" applyFont="1" applyFill="1" applyBorder="1" applyAlignment="1" applyProtection="1">
      <alignment horizontal="right"/>
    </xf>
    <xf numFmtId="0" fontId="4" fillId="0" borderId="12" xfId="0" applyFont="1" applyFill="1" applyBorder="1" applyAlignment="1" applyProtection="1">
      <alignment horizontal="right"/>
    </xf>
    <xf numFmtId="0" fontId="4" fillId="0" borderId="11" xfId="0" applyFont="1" applyFill="1" applyBorder="1" applyAlignment="1" applyProtection="1">
      <alignment horizontal="right"/>
    </xf>
    <xf numFmtId="0" fontId="4" fillId="0" borderId="31" xfId="0" applyFont="1" applyFill="1" applyBorder="1" applyAlignment="1" applyProtection="1"/>
    <xf numFmtId="0" fontId="4" fillId="0" borderId="12" xfId="0" applyFont="1" applyFill="1" applyBorder="1" applyAlignment="1" applyProtection="1"/>
    <xf numFmtId="0" fontId="4" fillId="0" borderId="11" xfId="0" applyFont="1" applyFill="1" applyBorder="1" applyAlignment="1" applyProtection="1"/>
    <xf numFmtId="0" fontId="14" fillId="4" borderId="13" xfId="0" applyFont="1" applyFill="1" applyBorder="1" applyAlignment="1" applyProtection="1">
      <alignment wrapText="1"/>
    </xf>
    <xf numFmtId="2" fontId="25" fillId="0" borderId="8" xfId="0" applyNumberFormat="1" applyFont="1" applyBorder="1" applyAlignment="1" applyProtection="1">
      <alignment vertical="center"/>
    </xf>
    <xf numFmtId="0" fontId="25" fillId="0" borderId="10" xfId="0" applyFont="1" applyBorder="1" applyAlignment="1" applyProtection="1">
      <alignment vertical="center"/>
    </xf>
    <xf numFmtId="0" fontId="25" fillId="0" borderId="35" xfId="0" applyFont="1" applyBorder="1" applyAlignment="1" applyProtection="1">
      <alignment vertical="center"/>
    </xf>
    <xf numFmtId="0" fontId="25" fillId="0" borderId="55" xfId="0" applyFont="1" applyBorder="1" applyAlignment="1" applyProtection="1">
      <alignment vertical="center"/>
    </xf>
    <xf numFmtId="0" fontId="15" fillId="0" borderId="8" xfId="0" applyFont="1" applyBorder="1" applyAlignment="1" applyProtection="1">
      <alignment horizontal="left" vertical="center" wrapText="1"/>
    </xf>
    <xf numFmtId="0" fontId="14" fillId="0" borderId="10" xfId="0" applyFont="1" applyBorder="1" applyAlignment="1" applyProtection="1">
      <alignment horizontal="left" vertical="center" wrapText="1"/>
    </xf>
    <xf numFmtId="0" fontId="14" fillId="0" borderId="36" xfId="0" applyFont="1" applyBorder="1" applyAlignment="1" applyProtection="1">
      <alignment horizontal="left" vertical="center" wrapText="1"/>
    </xf>
    <xf numFmtId="0" fontId="0" fillId="0" borderId="9" xfId="0" applyBorder="1" applyAlignment="1"/>
    <xf numFmtId="0" fontId="0" fillId="0" borderId="14" xfId="0" applyBorder="1" applyAlignment="1"/>
    <xf numFmtId="2" fontId="9" fillId="2" borderId="43" xfId="0" applyNumberFormat="1" applyFont="1" applyFill="1" applyBorder="1" applyAlignment="1" applyProtection="1">
      <protection locked="0"/>
    </xf>
    <xf numFmtId="2" fontId="9" fillId="2" borderId="12" xfId="0" applyNumberFormat="1" applyFont="1" applyFill="1" applyBorder="1" applyAlignment="1" applyProtection="1">
      <protection locked="0"/>
    </xf>
    <xf numFmtId="2" fontId="9" fillId="2" borderId="11" xfId="0" applyNumberFormat="1" applyFont="1" applyFill="1" applyBorder="1" applyAlignment="1" applyProtection="1">
      <protection locked="0"/>
    </xf>
    <xf numFmtId="2" fontId="0" fillId="0" borderId="14" xfId="0" applyNumberFormat="1" applyBorder="1" applyAlignment="1"/>
    <xf numFmtId="2" fontId="0" fillId="0" borderId="7" xfId="0" applyNumberFormat="1" applyBorder="1" applyAlignment="1"/>
    <xf numFmtId="0" fontId="7" fillId="0" borderId="9" xfId="0" quotePrefix="1" applyFont="1" applyBorder="1" applyAlignment="1">
      <alignment horizontal="left"/>
    </xf>
    <xf numFmtId="0" fontId="7" fillId="0" borderId="14" xfId="0" quotePrefix="1" applyFont="1" applyBorder="1" applyAlignment="1">
      <alignment horizontal="left"/>
    </xf>
    <xf numFmtId="0" fontId="9" fillId="0" borderId="14" xfId="0" applyFont="1" applyBorder="1" applyAlignment="1">
      <alignment horizontal="left"/>
    </xf>
    <xf numFmtId="0" fontId="7" fillId="0" borderId="53" xfId="0" applyFont="1" applyBorder="1" applyAlignment="1">
      <alignment horizontal="left"/>
    </xf>
    <xf numFmtId="0" fontId="7" fillId="0" borderId="35" xfId="0" applyFont="1" applyBorder="1" applyAlignment="1">
      <alignment horizontal="left"/>
    </xf>
    <xf numFmtId="0" fontId="9" fillId="0" borderId="35" xfId="0" applyFont="1" applyBorder="1" applyAlignment="1">
      <alignment horizontal="left"/>
    </xf>
    <xf numFmtId="0" fontId="9" fillId="0" borderId="6" xfId="0" quotePrefix="1" applyFont="1" applyBorder="1" applyAlignment="1">
      <alignment horizontal="left"/>
    </xf>
    <xf numFmtId="0" fontId="9" fillId="0" borderId="0" xfId="0" quotePrefix="1" applyFont="1" applyBorder="1" applyAlignment="1">
      <alignment horizontal="left"/>
    </xf>
    <xf numFmtId="0" fontId="9" fillId="0" borderId="0" xfId="0" applyFont="1" applyBorder="1" applyAlignment="1">
      <alignment horizontal="left"/>
    </xf>
    <xf numFmtId="0" fontId="9" fillId="0" borderId="54" xfId="0" applyFont="1" applyBorder="1" applyAlignment="1">
      <alignment horizontal="right"/>
    </xf>
    <xf numFmtId="2" fontId="9" fillId="0" borderId="0" xfId="0" applyNumberFormat="1" applyFont="1" applyBorder="1" applyAlignment="1">
      <alignment horizontal="right"/>
    </xf>
    <xf numFmtId="2" fontId="9" fillId="0" borderId="5" xfId="0" applyNumberFormat="1" applyFont="1" applyBorder="1" applyAlignment="1">
      <alignment horizontal="right"/>
    </xf>
    <xf numFmtId="0" fontId="9" fillId="0" borderId="5" xfId="0" applyFont="1" applyBorder="1" applyAlignment="1">
      <alignment horizontal="right"/>
    </xf>
    <xf numFmtId="2" fontId="7" fillId="0" borderId="7" xfId="0" applyNumberFormat="1" applyFont="1" applyBorder="1" applyAlignment="1" applyProtection="1">
      <alignment horizontal="right"/>
    </xf>
    <xf numFmtId="0" fontId="9" fillId="0" borderId="7" xfId="0" applyFont="1" applyBorder="1" applyAlignment="1">
      <alignment horizontal="right"/>
    </xf>
    <xf numFmtId="0" fontId="0" fillId="0" borderId="0" xfId="0" applyFill="1" applyBorder="1" applyAlignment="1">
      <alignment horizontal="center"/>
    </xf>
    <xf numFmtId="2" fontId="26" fillId="0" borderId="10" xfId="0" applyNumberFormat="1" applyFont="1" applyBorder="1" applyAlignment="1">
      <alignment horizontal="center" vertical="center"/>
    </xf>
    <xf numFmtId="2" fontId="26" fillId="0" borderId="17" xfId="0" applyNumberFormat="1" applyFont="1" applyBorder="1" applyAlignment="1">
      <alignment horizontal="center" vertical="center"/>
    </xf>
    <xf numFmtId="0" fontId="4" fillId="0" borderId="31" xfId="0" applyFont="1" applyFill="1" applyBorder="1" applyAlignment="1">
      <alignment horizontal="right"/>
    </xf>
    <xf numFmtId="0" fontId="4" fillId="0" borderId="12" xfId="0" applyFont="1" applyFill="1" applyBorder="1" applyAlignment="1">
      <alignment horizontal="right"/>
    </xf>
    <xf numFmtId="0" fontId="4" fillId="0" borderId="11" xfId="0" applyFont="1" applyFill="1" applyBorder="1" applyAlignment="1">
      <alignment horizontal="right"/>
    </xf>
    <xf numFmtId="0" fontId="4" fillId="0" borderId="31" xfId="0" applyFont="1" applyFill="1" applyBorder="1" applyAlignment="1"/>
    <xf numFmtId="0" fontId="4" fillId="0" borderId="12" xfId="0" applyFont="1" applyFill="1" applyBorder="1" applyAlignment="1"/>
    <xf numFmtId="0" fontId="4" fillId="0" borderId="11" xfId="0" applyFont="1" applyFill="1" applyBorder="1" applyAlignment="1"/>
    <xf numFmtId="0" fontId="4" fillId="0" borderId="31" xfId="0" applyFont="1" applyBorder="1" applyAlignment="1"/>
    <xf numFmtId="0" fontId="4" fillId="0" borderId="12" xfId="0" applyFont="1" applyBorder="1" applyAlignment="1"/>
    <xf numFmtId="0" fontId="0" fillId="0" borderId="11" xfId="0" applyBorder="1" applyAlignment="1"/>
    <xf numFmtId="0" fontId="6" fillId="0" borderId="0" xfId="0" applyFont="1" applyFill="1" applyBorder="1" applyAlignment="1">
      <alignment horizontal="center"/>
    </xf>
    <xf numFmtId="0" fontId="0" fillId="0" borderId="0" xfId="0" applyFill="1" applyBorder="1" applyAlignment="1"/>
    <xf numFmtId="0" fontId="4" fillId="0" borderId="4" xfId="0" applyFont="1" applyBorder="1" applyAlignment="1"/>
    <xf numFmtId="0" fontId="4" fillId="0" borderId="4" xfId="0" applyFont="1" applyFill="1" applyBorder="1" applyAlignment="1"/>
    <xf numFmtId="2" fontId="9" fillId="2" borderId="43" xfId="0" applyNumberFormat="1" applyFont="1" applyFill="1" applyBorder="1" applyAlignment="1" applyProtection="1">
      <alignment wrapText="1"/>
      <protection locked="0"/>
    </xf>
    <xf numFmtId="0" fontId="14" fillId="4" borderId="13" xfId="0" applyFont="1" applyFill="1" applyBorder="1" applyAlignment="1">
      <alignment wrapText="1"/>
    </xf>
    <xf numFmtId="2" fontId="9" fillId="0" borderId="8" xfId="0" applyNumberFormat="1" applyFont="1" applyBorder="1" applyAlignment="1">
      <alignment vertical="center"/>
    </xf>
    <xf numFmtId="0" fontId="9" fillId="0" borderId="10" xfId="0" applyFont="1" applyBorder="1" applyAlignment="1">
      <alignment vertical="center"/>
    </xf>
    <xf numFmtId="0" fontId="9" fillId="0" borderId="35" xfId="0" applyFont="1" applyBorder="1" applyAlignment="1">
      <alignment vertical="center"/>
    </xf>
    <xf numFmtId="0" fontId="9" fillId="0" borderId="55" xfId="0" applyFont="1" applyBorder="1" applyAlignment="1">
      <alignment vertical="center"/>
    </xf>
    <xf numFmtId="2" fontId="7" fillId="0" borderId="54" xfId="0" applyNumberFormat="1" applyFont="1" applyFill="1" applyBorder="1" applyAlignment="1" applyProtection="1">
      <alignment horizontal="right"/>
    </xf>
    <xf numFmtId="0" fontId="9" fillId="0" borderId="35" xfId="0" applyFont="1" applyFill="1" applyBorder="1" applyAlignment="1">
      <alignment horizontal="left"/>
    </xf>
    <xf numFmtId="2" fontId="26" fillId="9" borderId="10" xfId="0" applyNumberFormat="1" applyFont="1" applyFill="1" applyBorder="1" applyAlignment="1">
      <alignment horizontal="center" vertical="center"/>
    </xf>
    <xf numFmtId="2" fontId="26" fillId="9" borderId="17" xfId="0" applyNumberFormat="1" applyFont="1" applyFill="1" applyBorder="1" applyAlignment="1">
      <alignment horizontal="center" vertical="center"/>
    </xf>
    <xf numFmtId="0" fontId="14" fillId="0" borderId="0" xfId="0" applyFont="1" applyFill="1" applyBorder="1" applyAlignment="1"/>
    <xf numFmtId="0" fontId="2" fillId="0" borderId="0" xfId="0" applyFont="1" applyFill="1" applyBorder="1" applyAlignment="1">
      <alignment horizontal="center"/>
    </xf>
    <xf numFmtId="2" fontId="38" fillId="2" borderId="43" xfId="0" applyNumberFormat="1" applyFont="1" applyFill="1" applyBorder="1" applyAlignment="1" applyProtection="1">
      <protection locked="0"/>
    </xf>
    <xf numFmtId="2" fontId="38" fillId="2" borderId="12" xfId="0" applyNumberFormat="1" applyFont="1" applyFill="1" applyBorder="1" applyAlignment="1" applyProtection="1">
      <protection locked="0"/>
    </xf>
    <xf numFmtId="2" fontId="38" fillId="2" borderId="11" xfId="0" applyNumberFormat="1" applyFont="1" applyFill="1" applyBorder="1" applyAlignment="1" applyProtection="1">
      <protection locked="0"/>
    </xf>
    <xf numFmtId="0" fontId="9" fillId="0" borderId="36" xfId="0" applyFont="1" applyBorder="1" applyAlignment="1">
      <alignment vertical="center"/>
    </xf>
    <xf numFmtId="2" fontId="22" fillId="2" borderId="43" xfId="0" applyNumberFormat="1" applyFont="1" applyFill="1" applyBorder="1" applyAlignment="1" applyProtection="1">
      <protection locked="0"/>
    </xf>
    <xf numFmtId="2" fontId="22" fillId="2" borderId="12" xfId="0" applyNumberFormat="1" applyFont="1" applyFill="1" applyBorder="1" applyAlignment="1" applyProtection="1">
      <protection locked="0"/>
    </xf>
    <xf numFmtId="2" fontId="22" fillId="2" borderId="11" xfId="0" applyNumberFormat="1" applyFont="1" applyFill="1" applyBorder="1" applyAlignment="1" applyProtection="1">
      <protection locked="0"/>
    </xf>
    <xf numFmtId="2" fontId="25" fillId="0" borderId="8" xfId="0" applyNumberFormat="1" applyFont="1" applyBorder="1" applyAlignment="1">
      <alignment vertical="center"/>
    </xf>
    <xf numFmtId="0" fontId="25" fillId="0" borderId="10" xfId="0" applyFont="1" applyBorder="1" applyAlignment="1">
      <alignment vertical="center"/>
    </xf>
    <xf numFmtId="0" fontId="25" fillId="0" borderId="35" xfId="0" applyFont="1" applyBorder="1" applyAlignment="1">
      <alignment vertical="center"/>
    </xf>
    <xf numFmtId="0" fontId="25" fillId="0" borderId="55" xfId="0" applyFont="1" applyBorder="1" applyAlignment="1">
      <alignment vertical="center"/>
    </xf>
    <xf numFmtId="2" fontId="8" fillId="2" borderId="43" xfId="0" applyNumberFormat="1" applyFont="1" applyFill="1" applyBorder="1" applyAlignment="1" applyProtection="1">
      <protection locked="0"/>
    </xf>
    <xf numFmtId="2" fontId="8" fillId="2" borderId="12" xfId="0" applyNumberFormat="1" applyFont="1" applyFill="1" applyBorder="1" applyAlignment="1" applyProtection="1">
      <protection locked="0"/>
    </xf>
    <xf numFmtId="2" fontId="8" fillId="2" borderId="11" xfId="0" applyNumberFormat="1" applyFont="1" applyFill="1" applyBorder="1" applyAlignment="1" applyProtection="1">
      <protection locked="0"/>
    </xf>
    <xf numFmtId="2" fontId="25" fillId="0" borderId="0" xfId="0" applyNumberFormat="1" applyFont="1" applyFill="1" applyBorder="1" applyAlignment="1" applyProtection="1">
      <alignment horizontal="right"/>
    </xf>
    <xf numFmtId="2" fontId="25" fillId="0" borderId="5" xfId="0" applyNumberFormat="1" applyFont="1" applyFill="1" applyBorder="1" applyAlignment="1" applyProtection="1">
      <alignment horizontal="right"/>
    </xf>
    <xf numFmtId="2" fontId="25" fillId="0" borderId="0" xfId="0" applyNumberFormat="1" applyFont="1" applyBorder="1" applyAlignment="1">
      <alignment horizontal="right"/>
    </xf>
    <xf numFmtId="2" fontId="25" fillId="0" borderId="5" xfId="0" applyNumberFormat="1" applyFont="1" applyBorder="1" applyAlignment="1">
      <alignment horizontal="right"/>
    </xf>
    <xf numFmtId="2" fontId="14" fillId="0" borderId="8" xfId="0" applyNumberFormat="1" applyFont="1" applyBorder="1" applyAlignment="1">
      <alignment vertical="center"/>
    </xf>
    <xf numFmtId="0" fontId="0" fillId="0" borderId="10" xfId="0" applyBorder="1" applyAlignment="1">
      <alignment vertical="center"/>
    </xf>
    <xf numFmtId="0" fontId="0" fillId="0" borderId="35" xfId="0" applyBorder="1" applyAlignment="1">
      <alignment vertical="center"/>
    </xf>
    <xf numFmtId="0" fontId="0" fillId="0" borderId="55" xfId="0" applyBorder="1" applyAlignment="1">
      <alignment vertical="center"/>
    </xf>
    <xf numFmtId="0" fontId="27" fillId="0" borderId="9" xfId="0" quotePrefix="1" applyFont="1" applyBorder="1" applyAlignment="1">
      <alignment horizontal="left"/>
    </xf>
    <xf numFmtId="0" fontId="27" fillId="0" borderId="14" xfId="0" quotePrefix="1" applyFont="1" applyBorder="1" applyAlignment="1">
      <alignment horizontal="left"/>
    </xf>
    <xf numFmtId="0" fontId="25" fillId="0" borderId="14" xfId="0" applyFont="1" applyBorder="1" applyAlignment="1">
      <alignment horizontal="left"/>
    </xf>
    <xf numFmtId="0" fontId="27" fillId="0" borderId="53" xfId="0" applyFont="1" applyBorder="1" applyAlignment="1">
      <alignment horizontal="left"/>
    </xf>
    <xf numFmtId="0" fontId="27" fillId="0" borderId="35" xfId="0" applyFont="1" applyBorder="1" applyAlignment="1">
      <alignment horizontal="left"/>
    </xf>
    <xf numFmtId="0" fontId="25" fillId="0" borderId="35" xfId="0" applyFont="1" applyBorder="1" applyAlignment="1">
      <alignment horizontal="left"/>
    </xf>
    <xf numFmtId="0" fontId="25" fillId="0" borderId="35" xfId="0" applyFont="1" applyFill="1" applyBorder="1" applyAlignment="1">
      <alignment horizontal="left"/>
    </xf>
    <xf numFmtId="0" fontId="25" fillId="0" borderId="6" xfId="0" quotePrefix="1" applyFont="1" applyBorder="1" applyAlignment="1">
      <alignment horizontal="left"/>
    </xf>
    <xf numFmtId="0" fontId="25" fillId="0" borderId="0" xfId="0" quotePrefix="1" applyFont="1" applyBorder="1" applyAlignment="1">
      <alignment horizontal="left"/>
    </xf>
    <xf numFmtId="0" fontId="25" fillId="0" borderId="0" xfId="0" applyFont="1" applyBorder="1" applyAlignment="1">
      <alignment horizontal="left"/>
    </xf>
    <xf numFmtId="2" fontId="27" fillId="0" borderId="14" xfId="0" applyNumberFormat="1" applyFont="1" applyBorder="1" applyAlignment="1" applyProtection="1">
      <alignment horizontal="right"/>
    </xf>
    <xf numFmtId="2" fontId="27" fillId="0" borderId="7" xfId="0" applyNumberFormat="1" applyFont="1" applyBorder="1" applyAlignment="1" applyProtection="1">
      <alignment horizontal="right"/>
    </xf>
    <xf numFmtId="0" fontId="25" fillId="0" borderId="0" xfId="0" applyFont="1" applyFill="1" applyBorder="1" applyAlignment="1">
      <alignment horizontal="center"/>
    </xf>
    <xf numFmtId="0" fontId="27" fillId="0" borderId="0" xfId="0" applyFont="1" applyFill="1" applyBorder="1" applyAlignment="1">
      <alignment horizontal="center"/>
    </xf>
    <xf numFmtId="0" fontId="25" fillId="0" borderId="0" xfId="0" applyFont="1" applyFill="1" applyBorder="1" applyAlignment="1"/>
    <xf numFmtId="2" fontId="27" fillId="0" borderId="35" xfId="0" applyNumberFormat="1" applyFont="1" applyFill="1" applyBorder="1" applyAlignment="1" applyProtection="1">
      <alignment horizontal="right"/>
    </xf>
    <xf numFmtId="2" fontId="27" fillId="0" borderId="54" xfId="0" applyNumberFormat="1" applyFont="1" applyFill="1" applyBorder="1" applyAlignment="1" applyProtection="1">
      <alignment horizontal="right"/>
    </xf>
    <xf numFmtId="0" fontId="8" fillId="4" borderId="13" xfId="0" applyFont="1" applyFill="1" applyBorder="1" applyAlignment="1">
      <alignment wrapText="1"/>
    </xf>
    <xf numFmtId="2" fontId="9" fillId="0" borderId="9" xfId="0" quotePrefix="1" applyNumberFormat="1" applyFont="1" applyFill="1" applyBorder="1" applyAlignment="1" applyProtection="1">
      <protection locked="0"/>
    </xf>
    <xf numFmtId="0" fontId="9" fillId="0" borderId="14" xfId="0" applyFont="1" applyBorder="1" applyAlignment="1"/>
    <xf numFmtId="0" fontId="3" fillId="3" borderId="0" xfId="0" applyFont="1" applyFill="1" applyAlignment="1">
      <alignment horizontal="center"/>
    </xf>
    <xf numFmtId="0" fontId="0" fillId="0" borderId="12" xfId="0" applyBorder="1" applyAlignment="1">
      <alignment horizontal="left"/>
    </xf>
    <xf numFmtId="2" fontId="26" fillId="0" borderId="10" xfId="0" applyNumberFormat="1" applyFont="1" applyBorder="1" applyAlignment="1" applyProtection="1">
      <alignment horizontal="center" vertical="center"/>
      <protection hidden="1"/>
    </xf>
    <xf numFmtId="2" fontId="26" fillId="0" borderId="17" xfId="0" applyNumberFormat="1" applyFont="1" applyBorder="1" applyAlignment="1" applyProtection="1">
      <alignment horizontal="center" vertical="center"/>
      <protection hidden="1"/>
    </xf>
    <xf numFmtId="2" fontId="9" fillId="0" borderId="10" xfId="0" applyNumberFormat="1" applyFont="1" applyBorder="1" applyAlignment="1">
      <alignment vertical="center"/>
    </xf>
    <xf numFmtId="0" fontId="9" fillId="0" borderId="53" xfId="0" applyFont="1" applyFill="1" applyBorder="1" applyAlignment="1"/>
    <xf numFmtId="0" fontId="9" fillId="0" borderId="35" xfId="0" applyFont="1" applyBorder="1" applyAlignment="1"/>
    <xf numFmtId="2" fontId="9" fillId="0" borderId="6" xfId="0" quotePrefix="1" applyNumberFormat="1" applyFont="1" applyFill="1" applyBorder="1" applyAlignment="1">
      <alignment horizontal="left"/>
    </xf>
    <xf numFmtId="0" fontId="9" fillId="0" borderId="6" xfId="0" quotePrefix="1" applyFont="1" applyFill="1" applyBorder="1" applyAlignment="1">
      <alignment horizontal="left"/>
    </xf>
  </cellXfs>
  <cellStyles count="2">
    <cellStyle name="Komma" xfId="1" builtinId="3"/>
    <cellStyle name="Normal" xfId="0" builtinId="0"/>
  </cellStyles>
  <dxfs count="298">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ont>
        <condense val="0"/>
        <extend val="0"/>
        <color indexed="9"/>
      </font>
    </dxf>
    <dxf>
      <fill>
        <patternFill>
          <bgColor indexed="10"/>
        </patternFill>
      </fill>
    </dxf>
    <dxf>
      <fill>
        <patternFill>
          <bgColor indexed="41"/>
        </patternFill>
      </fill>
    </dxf>
    <dxf>
      <font>
        <condense val="0"/>
        <extend val="0"/>
        <color indexed="12"/>
      </font>
    </dxf>
    <dxf>
      <fill>
        <patternFill>
          <bgColor indexed="55"/>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ont>
        <condense val="0"/>
        <extend val="0"/>
        <color indexed="9"/>
      </font>
    </dxf>
    <dxf>
      <fill>
        <patternFill>
          <bgColor indexed="10"/>
        </patternFill>
      </fill>
    </dxf>
    <dxf>
      <fill>
        <patternFill>
          <bgColor indexed="41"/>
        </patternFill>
      </fill>
    </dxf>
    <dxf>
      <font>
        <condense val="0"/>
        <extend val="0"/>
        <color indexed="12"/>
      </font>
    </dxf>
    <dxf>
      <fill>
        <patternFill>
          <bgColor indexed="55"/>
        </patternFill>
      </fill>
    </dxf>
    <dxf>
      <fill>
        <patternFill>
          <bgColor indexed="41"/>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ont>
        <condense val="0"/>
        <extend val="0"/>
        <color indexed="9"/>
      </font>
    </dxf>
    <dxf>
      <fill>
        <patternFill>
          <bgColor indexed="10"/>
        </patternFill>
      </fill>
    </dxf>
    <dxf>
      <fill>
        <patternFill>
          <bgColor indexed="41"/>
        </patternFill>
      </fill>
    </dxf>
    <dxf>
      <font>
        <condense val="0"/>
        <extend val="0"/>
        <color indexed="12"/>
      </font>
    </dxf>
    <dxf>
      <fill>
        <patternFill>
          <bgColor indexed="55"/>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41"/>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41"/>
        </patternFill>
      </fill>
    </dxf>
    <dxf>
      <fill>
        <patternFill>
          <bgColor indexed="10"/>
        </patternFill>
      </fill>
    </dxf>
    <dxf>
      <fill>
        <patternFill>
          <bgColor indexed="41"/>
        </patternFill>
      </fill>
    </dxf>
    <dxf>
      <font>
        <condense val="0"/>
        <extend val="0"/>
        <color indexed="9"/>
      </font>
    </dxf>
    <dxf>
      <fill>
        <patternFill>
          <bgColor indexed="10"/>
        </patternFill>
      </fill>
    </dxf>
    <dxf>
      <fill>
        <patternFill>
          <bgColor indexed="41"/>
        </patternFill>
      </fill>
    </dxf>
    <dxf>
      <font>
        <condense val="0"/>
        <extend val="0"/>
        <color indexed="12"/>
      </font>
    </dxf>
    <dxf>
      <fill>
        <patternFill>
          <bgColor indexed="55"/>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ont>
        <condense val="0"/>
        <extend val="0"/>
        <color indexed="9"/>
      </font>
    </dxf>
    <dxf>
      <fill>
        <patternFill>
          <bgColor indexed="10"/>
        </patternFill>
      </fill>
    </dxf>
    <dxf>
      <fill>
        <patternFill>
          <bgColor indexed="41"/>
        </patternFill>
      </fill>
    </dxf>
    <dxf>
      <font>
        <condense val="0"/>
        <extend val="0"/>
        <color indexed="12"/>
      </font>
    </dxf>
    <dxf>
      <fill>
        <patternFill>
          <bgColor indexed="55"/>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ont>
        <condense val="0"/>
        <extend val="0"/>
        <color indexed="9"/>
      </font>
    </dxf>
    <dxf>
      <fill>
        <patternFill>
          <bgColor indexed="10"/>
        </patternFill>
      </fill>
    </dxf>
    <dxf>
      <fill>
        <patternFill>
          <bgColor indexed="41"/>
        </patternFill>
      </fill>
    </dxf>
    <dxf>
      <font>
        <condense val="0"/>
        <extend val="0"/>
        <color indexed="12"/>
      </font>
    </dxf>
    <dxf>
      <fill>
        <patternFill>
          <bgColor indexed="55"/>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ont>
        <condense val="0"/>
        <extend val="0"/>
        <color indexed="9"/>
      </font>
    </dxf>
    <dxf>
      <fill>
        <patternFill>
          <bgColor indexed="10"/>
        </patternFill>
      </fill>
    </dxf>
    <dxf>
      <fill>
        <patternFill>
          <bgColor indexed="41"/>
        </patternFill>
      </fill>
    </dxf>
    <dxf>
      <font>
        <condense val="0"/>
        <extend val="0"/>
        <color indexed="12"/>
      </font>
    </dxf>
    <dxf>
      <fill>
        <patternFill>
          <bgColor indexed="55"/>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41"/>
        </patternFill>
      </fill>
    </dxf>
    <dxf>
      <fill>
        <patternFill>
          <bgColor indexed="10"/>
        </patternFill>
      </fill>
    </dxf>
    <dxf>
      <fill>
        <patternFill>
          <bgColor indexed="1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1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ont>
        <condense val="0"/>
        <extend val="0"/>
        <color indexed="9"/>
      </font>
    </dxf>
    <dxf>
      <fill>
        <patternFill>
          <bgColor indexed="10"/>
        </patternFill>
      </fill>
    </dxf>
    <dxf>
      <fill>
        <patternFill>
          <bgColor indexed="41"/>
        </patternFill>
      </fill>
    </dxf>
    <dxf>
      <font>
        <condense val="0"/>
        <extend val="0"/>
        <color indexed="12"/>
      </font>
    </dxf>
    <dxf>
      <fill>
        <patternFill>
          <bgColor indexed="55"/>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ont>
        <condense val="0"/>
        <extend val="0"/>
        <color indexed="9"/>
      </font>
    </dxf>
    <dxf>
      <fill>
        <patternFill>
          <bgColor indexed="41"/>
        </patternFill>
      </fill>
    </dxf>
    <dxf>
      <font>
        <condense val="0"/>
        <extend val="0"/>
        <color indexed="12"/>
      </font>
    </dxf>
    <dxf>
      <fill>
        <patternFill>
          <bgColor indexed="55"/>
        </patternFill>
      </fill>
    </dxf>
    <dxf>
      <fill>
        <patternFill>
          <bgColor indexed="1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10"/>
        </patternFill>
      </fill>
    </dxf>
    <dxf>
      <fill>
        <patternFill>
          <bgColor indexed="41"/>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ont>
        <condense val="0"/>
        <extend val="0"/>
        <color indexed="9"/>
      </font>
    </dxf>
    <dxf>
      <fill>
        <patternFill>
          <bgColor indexed="10"/>
        </patternFill>
      </fill>
    </dxf>
    <dxf>
      <fill>
        <patternFill>
          <bgColor indexed="41"/>
        </patternFill>
      </fill>
    </dxf>
    <dxf>
      <font>
        <condense val="0"/>
        <extend val="0"/>
        <color indexed="12"/>
      </font>
    </dxf>
    <dxf>
      <fill>
        <patternFill>
          <bgColor indexed="55"/>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10"/>
        </patternFill>
      </fill>
    </dxf>
    <dxf>
      <fill>
        <patternFill>
          <bgColor indexed="41"/>
        </patternFill>
      </fill>
    </dxf>
    <dxf>
      <font>
        <condense val="0"/>
        <extend val="0"/>
        <color indexed="9"/>
      </font>
    </dxf>
    <dxf>
      <fill>
        <patternFill>
          <bgColor indexed="10"/>
        </patternFill>
      </fill>
    </dxf>
    <dxf>
      <fill>
        <patternFill>
          <bgColor indexed="41"/>
        </patternFill>
      </fill>
    </dxf>
    <dxf>
      <font>
        <condense val="0"/>
        <extend val="0"/>
        <color indexed="12"/>
      </font>
    </dxf>
    <dxf>
      <fill>
        <patternFill>
          <bgColor indexed="55"/>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1"/>
        </patternFill>
      </fill>
    </dxf>
    <dxf>
      <fill>
        <patternFill>
          <bgColor indexed="41"/>
        </patternFill>
      </fill>
    </dxf>
    <dxf>
      <fill>
        <patternFill>
          <bgColor indexed="10"/>
        </patternFill>
      </fill>
    </dxf>
    <dxf>
      <fill>
        <patternFill>
          <bgColor indexed="41"/>
        </patternFill>
      </fill>
    </dxf>
    <dxf>
      <font>
        <condense val="0"/>
        <extend val="0"/>
        <color indexed="9"/>
      </font>
    </dxf>
    <dxf>
      <fill>
        <patternFill>
          <bgColor indexed="10"/>
        </patternFill>
      </fill>
    </dxf>
    <dxf>
      <fill>
        <patternFill>
          <bgColor indexed="41"/>
        </patternFill>
      </fill>
    </dxf>
    <dxf>
      <font>
        <condense val="0"/>
        <extend val="0"/>
        <color indexed="12"/>
      </font>
    </dxf>
    <dxf>
      <fill>
        <patternFill>
          <bgColor indexed="55"/>
        </patternFill>
      </fill>
    </dxf>
    <dxf>
      <fill>
        <patternFill>
          <bgColor indexed="10"/>
        </patternFill>
      </fill>
    </dxf>
    <dxf>
      <font>
        <b/>
        <i val="0"/>
        <condense val="0"/>
        <extend val="0"/>
        <color indexed="18"/>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4"/>
  <dimension ref="A1:BB50"/>
  <sheetViews>
    <sheetView tabSelected="1" topLeftCell="G1" zoomScale="80" workbookViewId="0">
      <pane ySplit="6" topLeftCell="A7" activePane="bottomLeft" state="frozen"/>
      <selection activeCell="AW41" sqref="AW41:AY41"/>
      <selection pane="bottomLeft" activeCell="AD19" sqref="AD19"/>
    </sheetView>
  </sheetViews>
  <sheetFormatPr defaultColWidth="11.42578125" defaultRowHeight="12.75" x14ac:dyDescent="0.2"/>
  <cols>
    <col min="1" max="1" width="9.28515625" hidden="1" customWidth="1"/>
    <col min="2" max="5" width="10.140625" hidden="1" customWidth="1"/>
    <col min="6" max="6" width="11.42578125" hidden="1" customWidth="1"/>
    <col min="7" max="7" width="32.7109375" bestFit="1" customWidth="1"/>
    <col min="8" max="8" width="11.28515625" bestFit="1" customWidth="1"/>
    <col min="9" max="9" width="12.85546875" bestFit="1" customWidth="1"/>
    <col min="10" max="10" width="24.28515625" bestFit="1" customWidth="1"/>
    <col min="11" max="11" width="10.28515625" bestFit="1" customWidth="1"/>
    <col min="12" max="12" width="13.140625" bestFit="1" customWidth="1"/>
    <col min="13" max="13" width="11.42578125" hidden="1" customWidth="1"/>
    <col min="14" max="14" width="6" hidden="1" customWidth="1"/>
    <col min="15" max="17" width="7.85546875" hidden="1" customWidth="1"/>
    <col min="18" max="18" width="7.7109375" hidden="1" customWidth="1"/>
    <col min="19" max="25" width="11.42578125" hidden="1" customWidth="1"/>
    <col min="26" max="26" width="11.42578125" customWidth="1"/>
    <col min="27" max="27" width="29.42578125" bestFit="1" customWidth="1"/>
    <col min="28" max="28" width="9.140625" customWidth="1"/>
    <col min="29" max="29" width="6" hidden="1" customWidth="1"/>
    <col min="30" max="30" width="9.140625" customWidth="1"/>
    <col min="31" max="33" width="5.5703125" hidden="1" customWidth="1"/>
    <col min="34" max="35" width="6.7109375" hidden="1" customWidth="1"/>
    <col min="36" max="37" width="5.5703125" hidden="1" customWidth="1"/>
    <col min="38" max="38" width="6.7109375" hidden="1" customWidth="1"/>
    <col min="39" max="54" width="11.42578125" hidden="1" customWidth="1"/>
  </cols>
  <sheetData>
    <row r="1" spans="1:38" ht="15.75" x14ac:dyDescent="0.25">
      <c r="G1" s="19" t="s">
        <v>5</v>
      </c>
      <c r="H1" s="495" t="s">
        <v>71</v>
      </c>
      <c r="I1" s="495"/>
      <c r="J1" s="495"/>
    </row>
    <row r="2" spans="1:38" ht="15.75" x14ac:dyDescent="0.25">
      <c r="G2" s="19" t="s">
        <v>6</v>
      </c>
      <c r="H2" s="496" t="s">
        <v>72</v>
      </c>
      <c r="I2" s="496"/>
      <c r="J2" s="496"/>
    </row>
    <row r="3" spans="1:38" ht="15.75" x14ac:dyDescent="0.25">
      <c r="G3" s="29" t="s">
        <v>9</v>
      </c>
      <c r="H3" s="495" t="s">
        <v>73</v>
      </c>
      <c r="I3" s="495"/>
      <c r="J3" s="495"/>
    </row>
    <row r="4" spans="1:38" ht="15.75" x14ac:dyDescent="0.25">
      <c r="G4" s="30" t="s">
        <v>8</v>
      </c>
      <c r="H4" s="31">
        <v>1</v>
      </c>
      <c r="I4" s="46" t="str">
        <f>IF(H4=1,"1 - bagud",IF(H4=0,"0 - forud","** FEJL **"))</f>
        <v>1 - bagud</v>
      </c>
    </row>
    <row r="5" spans="1:38" ht="15.75" x14ac:dyDescent="0.25">
      <c r="G5" s="101"/>
      <c r="H5" s="105" t="s">
        <v>41</v>
      </c>
      <c r="I5" s="497"/>
      <c r="J5" s="497"/>
      <c r="K5" s="497"/>
    </row>
    <row r="6" spans="1:38" ht="20.25" customHeight="1" thickBot="1" x14ac:dyDescent="0.25"/>
    <row r="7" spans="1:38" ht="13.5" thickBot="1" x14ac:dyDescent="0.25">
      <c r="G7" s="498" t="str">
        <f>"Ferieregnskab 1.1."&amp;Nøgletal!B1&amp;" - 30.4."&amp;Nøgletal!B1</f>
        <v>Ferieregnskab 1.1.2013 - 30.4.2013</v>
      </c>
      <c r="H7" s="499"/>
      <c r="J7" s="498" t="str">
        <f>"Den 6. ferieuge 1.1."&amp;Nøgletal!B1&amp;" - 30.4."&amp;Nøgletal!B1</f>
        <v>Den 6. ferieuge 1.1.2013 - 30.4.2013</v>
      </c>
      <c r="K7" s="500"/>
      <c r="L7" s="499"/>
      <c r="M7" s="198"/>
      <c r="N7" s="198"/>
      <c r="O7" s="198"/>
      <c r="P7" s="198"/>
      <c r="Q7" s="198"/>
      <c r="R7" s="198"/>
      <c r="S7" s="198"/>
      <c r="T7" s="198"/>
      <c r="U7" s="198"/>
      <c r="V7" s="198"/>
      <c r="W7" s="198"/>
      <c r="X7" s="198"/>
      <c r="Y7" s="198"/>
      <c r="AA7" s="505" t="s">
        <v>59</v>
      </c>
      <c r="AB7" s="506"/>
      <c r="AC7" s="506"/>
      <c r="AD7" s="507"/>
    </row>
    <row r="8" spans="1:38" ht="15.75" thickBot="1" x14ac:dyDescent="0.3">
      <c r="A8" s="36">
        <f>+H8</f>
        <v>37</v>
      </c>
      <c r="B8" s="141">
        <f t="shared" ref="B8:B13" si="0">FLOOR(A8,1)</f>
        <v>37</v>
      </c>
      <c r="C8" s="141">
        <f t="shared" ref="C8:C13" si="1">+A8-B8</f>
        <v>0</v>
      </c>
      <c r="D8" s="141">
        <f>+C8/60*100</f>
        <v>0</v>
      </c>
      <c r="E8" s="164">
        <f t="shared" ref="E8:E13" si="2">+D8+B8</f>
        <v>37</v>
      </c>
      <c r="G8" s="24" t="str">
        <f>"  Restferie pr. 31.12."&amp;Nøgletal!B1-1</f>
        <v xml:space="preserve">  Restferie pr. 31.12.2012</v>
      </c>
      <c r="H8" s="36">
        <v>37</v>
      </c>
      <c r="J8" s="32" t="str">
        <f>"  Rest 6. f.uge 31.12."&amp;Nøgletal!B1-1</f>
        <v xml:space="preserve">  Rest 6. f.uge 31.12.2012</v>
      </c>
      <c r="K8" s="32"/>
      <c r="L8" s="51">
        <v>0</v>
      </c>
      <c r="M8" s="195"/>
      <c r="N8" s="51">
        <f>+L8</f>
        <v>0</v>
      </c>
      <c r="O8" s="141">
        <f t="shared" ref="O8:O13" si="3">FLOOR(N8,1)</f>
        <v>0</v>
      </c>
      <c r="P8" s="141">
        <f t="shared" ref="P8:P13" si="4">+N8-O8</f>
        <v>0</v>
      </c>
      <c r="Q8" s="141">
        <f>+P8/60*100</f>
        <v>0</v>
      </c>
      <c r="R8" s="164">
        <f t="shared" ref="R8:R14" si="5">+Q8+O8</f>
        <v>0</v>
      </c>
      <c r="S8" s="394"/>
      <c r="T8" s="394"/>
      <c r="U8" s="394"/>
      <c r="V8" s="394"/>
      <c r="W8" s="394"/>
      <c r="X8" s="394"/>
      <c r="Y8" s="394"/>
      <c r="AA8" s="60" t="s">
        <v>51</v>
      </c>
      <c r="AB8" s="61" t="s">
        <v>2</v>
      </c>
      <c r="AC8" s="201"/>
      <c r="AD8" s="93" t="s">
        <v>18</v>
      </c>
    </row>
    <row r="9" spans="1:38" ht="15" x14ac:dyDescent="0.25">
      <c r="A9" s="107">
        <f>IF(Jan!U$40&lt;&gt;0,Jan!U$40,0)</f>
        <v>0</v>
      </c>
      <c r="B9" s="141">
        <f t="shared" si="0"/>
        <v>0</v>
      </c>
      <c r="C9" s="141">
        <f t="shared" si="1"/>
        <v>0</v>
      </c>
      <c r="D9" s="141">
        <f>+C9/60*100</f>
        <v>0</v>
      </c>
      <c r="E9" s="164">
        <f t="shared" si="2"/>
        <v>0</v>
      </c>
      <c r="G9" s="24" t="s">
        <v>20</v>
      </c>
      <c r="H9" s="107" t="str">
        <f>IF(Jan!U$40&lt;&gt;0,Jan!U$40,"")</f>
        <v/>
      </c>
      <c r="J9" s="24" t="s">
        <v>20</v>
      </c>
      <c r="K9" s="24"/>
      <c r="L9" s="107" t="str">
        <f>IF(Jan!AD$40&lt;&gt;0,Jan!AD$40,"")</f>
        <v/>
      </c>
      <c r="M9" s="196"/>
      <c r="N9" s="107">
        <f>IF(Jan!AD$40&lt;&gt;0,Jan!AD$40,0)</f>
        <v>0</v>
      </c>
      <c r="O9" s="141">
        <f t="shared" si="3"/>
        <v>0</v>
      </c>
      <c r="P9" s="141">
        <f t="shared" si="4"/>
        <v>0</v>
      </c>
      <c r="Q9" s="141">
        <f>+P9/60*100</f>
        <v>0</v>
      </c>
      <c r="R9" s="164">
        <f t="shared" si="5"/>
        <v>0</v>
      </c>
      <c r="S9" s="394"/>
      <c r="T9" s="394"/>
      <c r="U9" s="394"/>
      <c r="V9" s="394"/>
      <c r="W9" s="394"/>
      <c r="X9" s="394"/>
      <c r="Y9" s="394"/>
      <c r="AA9" s="58">
        <v>1</v>
      </c>
      <c r="AB9" s="59" t="s">
        <v>52</v>
      </c>
      <c r="AC9" s="202">
        <f>+AH9</f>
        <v>7.0633333333333335</v>
      </c>
      <c r="AD9" s="380">
        <v>7.0380000000000003</v>
      </c>
      <c r="AE9" s="141">
        <f>FLOOR(AD9,1)</f>
        <v>7</v>
      </c>
      <c r="AF9" s="141">
        <f>+AD9-AE9</f>
        <v>3.8000000000000256E-2</v>
      </c>
      <c r="AG9" s="141">
        <f>+AF9/60*100</f>
        <v>6.3333333333333769E-2</v>
      </c>
      <c r="AH9" s="164">
        <f>+AG9+AE9</f>
        <v>7.0633333333333335</v>
      </c>
    </row>
    <row r="10" spans="1:38" ht="15" x14ac:dyDescent="0.25">
      <c r="A10" s="107">
        <f>IF(Feb!U$38&lt;&gt;0,Feb!U$38,0)</f>
        <v>0</v>
      </c>
      <c r="B10" s="141">
        <f>ROUND(A10,1)</f>
        <v>0</v>
      </c>
      <c r="C10" s="141">
        <f t="shared" si="1"/>
        <v>0</v>
      </c>
      <c r="D10" s="141">
        <f>+C10/60*100</f>
        <v>0</v>
      </c>
      <c r="E10" s="164">
        <f t="shared" si="2"/>
        <v>0</v>
      </c>
      <c r="G10" s="24" t="s">
        <v>21</v>
      </c>
      <c r="H10" s="107" t="str">
        <f>IF(Feb!U$38&lt;&gt;0,Feb!U$38,"")</f>
        <v/>
      </c>
      <c r="J10" s="24" t="s">
        <v>21</v>
      </c>
      <c r="K10" s="24"/>
      <c r="L10" s="107" t="str">
        <f>IF(Feb!AD$38&lt;&gt;0,Feb!AD$38,"")</f>
        <v/>
      </c>
      <c r="M10" s="196"/>
      <c r="N10" s="107">
        <f>IF(Feb!AD$38&lt;&gt;0,Feb!AD$38,0)</f>
        <v>0</v>
      </c>
      <c r="O10" s="141">
        <f t="shared" si="3"/>
        <v>0</v>
      </c>
      <c r="P10" s="141">
        <f t="shared" si="4"/>
        <v>0</v>
      </c>
      <c r="Q10" s="141">
        <f>+P10/60*100</f>
        <v>0</v>
      </c>
      <c r="R10" s="164">
        <f t="shared" si="5"/>
        <v>0</v>
      </c>
      <c r="S10" s="394"/>
      <c r="T10" s="394"/>
      <c r="U10" s="394"/>
      <c r="V10" s="394"/>
      <c r="W10" s="394"/>
      <c r="X10" s="394"/>
      <c r="Y10" s="394"/>
      <c r="AA10" s="57">
        <v>2</v>
      </c>
      <c r="AB10" s="55" t="s">
        <v>53</v>
      </c>
      <c r="AC10" s="202">
        <f>+AH10</f>
        <v>7.0666666666666664</v>
      </c>
      <c r="AD10" s="381">
        <v>7.04</v>
      </c>
      <c r="AE10" s="141">
        <f t="shared" ref="AE10:AE15" si="6">FLOOR(AD10,1)</f>
        <v>7</v>
      </c>
      <c r="AF10" s="141">
        <f t="shared" ref="AF10:AF15" si="7">+AD10-AE10</f>
        <v>4.0000000000000036E-2</v>
      </c>
      <c r="AG10" s="141">
        <f t="shared" ref="AG10:AG15" si="8">+AF10/60*100</f>
        <v>6.6666666666666735E-2</v>
      </c>
      <c r="AH10" s="164">
        <f t="shared" ref="AH10:AH15" si="9">+AG10+AE10</f>
        <v>7.0666666666666664</v>
      </c>
    </row>
    <row r="11" spans="1:38" ht="15" x14ac:dyDescent="0.25">
      <c r="A11" s="107">
        <f>IF(Mar!U$40&lt;&gt;0,Mar!U$40,0)</f>
        <v>0</v>
      </c>
      <c r="B11" s="141">
        <f>ROUND(A11,1)</f>
        <v>0</v>
      </c>
      <c r="C11" s="141">
        <f t="shared" si="1"/>
        <v>0</v>
      </c>
      <c r="D11" s="141">
        <f>+C11/60*100</f>
        <v>0</v>
      </c>
      <c r="E11" s="164">
        <f t="shared" si="2"/>
        <v>0</v>
      </c>
      <c r="G11" s="24" t="s">
        <v>22</v>
      </c>
      <c r="H11" s="107" t="str">
        <f>IF(Mar!U$40&lt;&gt;0,Mar!U$40,"")</f>
        <v/>
      </c>
      <c r="J11" s="24" t="s">
        <v>22</v>
      </c>
      <c r="K11" s="24"/>
      <c r="L11" s="107" t="str">
        <f>IF(Mar!AD40&lt;&gt;0,Mar!AD$40,"")</f>
        <v/>
      </c>
      <c r="M11" s="196"/>
      <c r="N11" s="107">
        <f>IF(Mar!AD40&lt;&gt;0,Mar!AD$40,0)</f>
        <v>0</v>
      </c>
      <c r="O11" s="141">
        <f t="shared" si="3"/>
        <v>0</v>
      </c>
      <c r="P11" s="141">
        <f t="shared" si="4"/>
        <v>0</v>
      </c>
      <c r="Q11" s="141">
        <f>+P11/60*100</f>
        <v>0</v>
      </c>
      <c r="R11" s="164">
        <f t="shared" si="5"/>
        <v>0</v>
      </c>
      <c r="S11" s="394"/>
      <c r="T11" s="394"/>
      <c r="U11" s="394"/>
      <c r="V11" s="394"/>
      <c r="W11" s="394"/>
      <c r="X11" s="394"/>
      <c r="Y11" s="394"/>
      <c r="AA11" s="57">
        <v>3</v>
      </c>
      <c r="AB11" s="55" t="s">
        <v>54</v>
      </c>
      <c r="AC11" s="202">
        <f>+AH11</f>
        <v>7.0666666666666664</v>
      </c>
      <c r="AD11" s="381">
        <v>7.04</v>
      </c>
      <c r="AE11" s="141">
        <f t="shared" si="6"/>
        <v>7</v>
      </c>
      <c r="AF11" s="141">
        <f t="shared" si="7"/>
        <v>4.0000000000000036E-2</v>
      </c>
      <c r="AG11" s="141">
        <f t="shared" si="8"/>
        <v>6.6666666666666735E-2</v>
      </c>
      <c r="AH11" s="164">
        <f t="shared" si="9"/>
        <v>7.0666666666666664</v>
      </c>
    </row>
    <row r="12" spans="1:38" ht="15.75" thickBot="1" x14ac:dyDescent="0.3">
      <c r="A12" s="108">
        <f>IF(Apr!U$39&lt;&gt;0,Apr!U$39,0)</f>
        <v>0</v>
      </c>
      <c r="B12" s="141">
        <f t="shared" si="0"/>
        <v>0</v>
      </c>
      <c r="C12" s="141">
        <f t="shared" si="1"/>
        <v>0</v>
      </c>
      <c r="D12" s="141">
        <f>+C12/60*100</f>
        <v>0</v>
      </c>
      <c r="E12" s="164">
        <f t="shared" si="2"/>
        <v>0</v>
      </c>
      <c r="G12" s="22" t="s">
        <v>23</v>
      </c>
      <c r="H12" s="108" t="str">
        <f>IF(Apr!U$39&lt;&gt;0,Apr!U$39,"")</f>
        <v/>
      </c>
      <c r="J12" s="22" t="s">
        <v>23</v>
      </c>
      <c r="K12" s="22"/>
      <c r="L12" s="108" t="str">
        <f>IF(Apr!AD$39&lt;&gt;0,Apr!AD$39,"")</f>
        <v/>
      </c>
      <c r="M12" s="196"/>
      <c r="N12" s="108">
        <f>IF(Apr!AD$39&lt;&gt;0,Apr!AD$39,0)</f>
        <v>0</v>
      </c>
      <c r="O12" s="141">
        <f t="shared" si="3"/>
        <v>0</v>
      </c>
      <c r="P12" s="141">
        <f t="shared" si="4"/>
        <v>0</v>
      </c>
      <c r="Q12" s="141">
        <f>+P12/60*100</f>
        <v>0</v>
      </c>
      <c r="R12" s="164">
        <f t="shared" si="5"/>
        <v>0</v>
      </c>
      <c r="S12" s="394"/>
      <c r="T12" s="394"/>
      <c r="U12" s="394"/>
      <c r="V12" s="394"/>
      <c r="W12" s="394"/>
      <c r="X12" s="394"/>
      <c r="Y12" s="394"/>
      <c r="AA12" s="57">
        <v>4</v>
      </c>
      <c r="AB12" s="55" t="s">
        <v>55</v>
      </c>
      <c r="AC12" s="202">
        <f>+AH12</f>
        <v>9.41</v>
      </c>
      <c r="AD12" s="381">
        <v>9.2460000000000004</v>
      </c>
      <c r="AE12" s="141">
        <f t="shared" si="6"/>
        <v>9</v>
      </c>
      <c r="AF12" s="141">
        <f t="shared" si="7"/>
        <v>0.24600000000000044</v>
      </c>
      <c r="AG12" s="141">
        <f t="shared" si="8"/>
        <v>0.41000000000000075</v>
      </c>
      <c r="AH12" s="164">
        <f t="shared" si="9"/>
        <v>9.41</v>
      </c>
    </row>
    <row r="13" spans="1:38" ht="15.75" thickBot="1" x14ac:dyDescent="0.3">
      <c r="A13" s="37">
        <f>+E8-SUM(E9:E12)</f>
        <v>37</v>
      </c>
      <c r="B13" s="392">
        <f t="shared" si="0"/>
        <v>37</v>
      </c>
      <c r="C13" s="392">
        <f t="shared" si="1"/>
        <v>0</v>
      </c>
      <c r="D13" s="392">
        <f>+C13/100*60</f>
        <v>0</v>
      </c>
      <c r="E13" s="393">
        <f t="shared" si="2"/>
        <v>37</v>
      </c>
      <c r="G13" s="23" t="str">
        <f>"Rest ferietimer"</f>
        <v>Rest ferietimer</v>
      </c>
      <c r="H13" s="37">
        <f>+E13</f>
        <v>37</v>
      </c>
      <c r="J13" s="23" t="str">
        <f>"Rest 6. ferieuge timer"</f>
        <v>Rest 6. ferieuge timer</v>
      </c>
      <c r="K13" s="23"/>
      <c r="L13" s="37">
        <f>+R13</f>
        <v>0</v>
      </c>
      <c r="M13" s="21"/>
      <c r="N13" s="37">
        <f>+R8-SUM(R9:R12)</f>
        <v>0</v>
      </c>
      <c r="O13" s="392">
        <f t="shared" si="3"/>
        <v>0</v>
      </c>
      <c r="P13" s="392">
        <f t="shared" si="4"/>
        <v>0</v>
      </c>
      <c r="Q13" s="392">
        <f>+P13/100*60</f>
        <v>0</v>
      </c>
      <c r="R13" s="393">
        <f t="shared" si="5"/>
        <v>0</v>
      </c>
      <c r="S13" s="395"/>
      <c r="T13" s="395"/>
      <c r="U13" s="395"/>
      <c r="V13" s="395"/>
      <c r="W13" s="395"/>
      <c r="X13" s="395"/>
      <c r="Y13" s="395"/>
      <c r="AA13" s="57">
        <v>5</v>
      </c>
      <c r="AB13" s="55" t="s">
        <v>56</v>
      </c>
      <c r="AC13" s="202">
        <f>+AH13</f>
        <v>6.4</v>
      </c>
      <c r="AD13" s="381">
        <v>6.24</v>
      </c>
      <c r="AE13" s="141">
        <f t="shared" si="6"/>
        <v>6</v>
      </c>
      <c r="AF13" s="141">
        <f t="shared" si="7"/>
        <v>0.24000000000000021</v>
      </c>
      <c r="AG13" s="141">
        <f t="shared" si="8"/>
        <v>0.40000000000000036</v>
      </c>
      <c r="AH13" s="164">
        <f t="shared" si="9"/>
        <v>6.4</v>
      </c>
    </row>
    <row r="14" spans="1:38" ht="15" x14ac:dyDescent="0.25">
      <c r="A14" s="28"/>
      <c r="B14" s="197"/>
      <c r="C14" s="197"/>
      <c r="D14" s="197"/>
      <c r="G14" s="47"/>
      <c r="H14" s="28"/>
      <c r="J14" s="501" t="s">
        <v>46</v>
      </c>
      <c r="K14" s="501"/>
      <c r="L14" s="28"/>
      <c r="M14" s="197"/>
      <c r="N14" s="28">
        <f>+R14</f>
        <v>0</v>
      </c>
      <c r="O14" s="141">
        <f>FLOOR(L14,1)</f>
        <v>0</v>
      </c>
      <c r="P14" s="141">
        <f>+L14-O14</f>
        <v>0</v>
      </c>
      <c r="Q14" s="141">
        <f>+P14/60*100</f>
        <v>0</v>
      </c>
      <c r="R14" s="164">
        <f t="shared" si="5"/>
        <v>0</v>
      </c>
      <c r="S14" s="394"/>
      <c r="T14" s="394"/>
      <c r="U14" s="394"/>
      <c r="V14" s="394"/>
      <c r="W14" s="394"/>
      <c r="X14" s="394"/>
      <c r="Y14" s="394"/>
      <c r="AA14" s="57">
        <v>6</v>
      </c>
      <c r="AB14" s="56" t="s">
        <v>57</v>
      </c>
      <c r="AC14" s="203"/>
      <c r="AD14" s="381"/>
      <c r="AE14" s="141">
        <f t="shared" si="6"/>
        <v>0</v>
      </c>
      <c r="AF14" s="141">
        <f t="shared" si="7"/>
        <v>0</v>
      </c>
      <c r="AG14" s="141">
        <f t="shared" si="8"/>
        <v>0</v>
      </c>
      <c r="AH14" s="164">
        <f t="shared" si="9"/>
        <v>0</v>
      </c>
    </row>
    <row r="15" spans="1:38" ht="15.75" thickBot="1" x14ac:dyDescent="0.3">
      <c r="A15" s="28">
        <f>+A13-A14</f>
        <v>37</v>
      </c>
      <c r="B15" s="197"/>
      <c r="C15" s="197"/>
      <c r="D15" s="197"/>
      <c r="G15" s="48" t="s">
        <v>48</v>
      </c>
      <c r="H15" s="373">
        <v>0</v>
      </c>
      <c r="J15" s="502" t="s">
        <v>35</v>
      </c>
      <c r="K15" s="502"/>
      <c r="L15" s="373">
        <v>0</v>
      </c>
      <c r="M15" s="197"/>
      <c r="N15" s="28">
        <f>+N13-N14</f>
        <v>0</v>
      </c>
      <c r="O15" s="141">
        <f>FLOOR(N15,1)</f>
        <v>0</v>
      </c>
      <c r="P15" s="141">
        <f>+N15-O15</f>
        <v>0</v>
      </c>
      <c r="Q15" s="141">
        <f>+P15/100*60</f>
        <v>0</v>
      </c>
      <c r="R15" s="164">
        <f>+L15</f>
        <v>0</v>
      </c>
      <c r="S15" s="394"/>
      <c r="T15" s="394"/>
      <c r="U15" s="394"/>
      <c r="V15" s="394"/>
      <c r="W15" s="394"/>
      <c r="X15" s="394"/>
      <c r="Y15" s="394"/>
      <c r="AA15" s="62">
        <v>7</v>
      </c>
      <c r="AB15" s="63" t="s">
        <v>57</v>
      </c>
      <c r="AC15" s="204"/>
      <c r="AD15" s="382"/>
      <c r="AE15" s="141">
        <f t="shared" si="6"/>
        <v>0</v>
      </c>
      <c r="AF15" s="141">
        <f t="shared" si="7"/>
        <v>0</v>
      </c>
      <c r="AG15" s="141">
        <f t="shared" si="8"/>
        <v>0</v>
      </c>
      <c r="AH15" s="164">
        <f t="shared" si="9"/>
        <v>0</v>
      </c>
    </row>
    <row r="16" spans="1:38" s="384" customFormat="1" ht="18.75" customHeight="1" thickBot="1" x14ac:dyDescent="0.3">
      <c r="AA16" s="385"/>
      <c r="AB16" s="386" t="s">
        <v>1</v>
      </c>
      <c r="AC16" s="387">
        <f>(SUM(AC9:AC15))</f>
        <v>37.006666666666668</v>
      </c>
      <c r="AD16" s="487">
        <f>+AL16</f>
        <v>37.003999999999998</v>
      </c>
      <c r="AE16" s="388"/>
      <c r="AF16" s="388"/>
      <c r="AG16" s="388"/>
      <c r="AH16" s="389">
        <f>SUM(AH9:AH15)</f>
        <v>37.006666666666668</v>
      </c>
      <c r="AI16" s="388">
        <f>FLOOR(AH16,1)</f>
        <v>37</v>
      </c>
      <c r="AJ16" s="388">
        <f>+AH16-AI16</f>
        <v>6.6666666666677088E-3</v>
      </c>
      <c r="AK16" s="388">
        <f>+AJ16/100*60</f>
        <v>4.0000000000006255E-3</v>
      </c>
      <c r="AL16" s="389">
        <f>+AK16+AI16</f>
        <v>37.003999999999998</v>
      </c>
    </row>
    <row r="17" spans="1:42" ht="13.5" thickBot="1" x14ac:dyDescent="0.25">
      <c r="G17" s="498" t="str">
        <f>"Ferieregnskab 1.5."&amp;Nøgletal!B1&amp;" - 31.12."&amp;Nøgletal!B1</f>
        <v>Ferieregnskab 1.5.2013 - 31.12.2013</v>
      </c>
      <c r="H17" s="499"/>
      <c r="J17" s="498" t="str">
        <f>"Den 6. ferieuge 1.5."&amp;Nøgletal!B1&amp;" - 31.12."&amp;Nøgletal!B1</f>
        <v>Den 6. ferieuge 1.5.2013 - 31.12.2013</v>
      </c>
      <c r="K17" s="500"/>
      <c r="L17" s="499"/>
      <c r="M17" s="198"/>
      <c r="N17" s="198"/>
      <c r="O17" s="198"/>
      <c r="P17" s="198"/>
      <c r="Q17" s="198"/>
      <c r="R17" s="198"/>
      <c r="S17" s="198"/>
      <c r="T17" s="198"/>
      <c r="U17" s="198"/>
      <c r="V17" s="198"/>
      <c r="W17" s="198"/>
      <c r="X17" s="198"/>
      <c r="Y17" s="198"/>
      <c r="AD17" s="253"/>
    </row>
    <row r="18" spans="1:42" ht="15" x14ac:dyDescent="0.25">
      <c r="A18" s="38">
        <f>+H18</f>
        <v>185</v>
      </c>
      <c r="B18" s="141">
        <f>FLOOR(A18,1)</f>
        <v>185</v>
      </c>
      <c r="C18" s="141">
        <f>+A18-B18</f>
        <v>0</v>
      </c>
      <c r="D18" s="141">
        <f t="shared" ref="D18:D27" si="10">+C18/60*100</f>
        <v>0</v>
      </c>
      <c r="E18" s="164">
        <f>+D18+B18</f>
        <v>185</v>
      </c>
      <c r="G18" s="25" t="str">
        <f>"  Optjent saldo 31.12."&amp;Nøgletal!B1-1</f>
        <v xml:space="preserve">  Optjent saldo 31.12.2012</v>
      </c>
      <c r="H18" s="38">
        <v>185</v>
      </c>
      <c r="J18" s="25" t="str">
        <f>"  Optjent saldo 31.12."&amp;Nøgletal!B1-1</f>
        <v xml:space="preserve">  Optjent saldo 31.12.2012</v>
      </c>
      <c r="K18" s="25"/>
      <c r="L18" s="38">
        <v>37</v>
      </c>
      <c r="M18" s="195"/>
      <c r="N18" s="38">
        <f>+L18</f>
        <v>37</v>
      </c>
      <c r="O18" s="141">
        <f>FLOOR(N18,1)</f>
        <v>37</v>
      </c>
      <c r="P18" s="141">
        <f>+N18-O18</f>
        <v>0</v>
      </c>
      <c r="Q18" s="141">
        <f>+P18/60*100</f>
        <v>0</v>
      </c>
      <c r="R18" s="164">
        <f>+Q18+O18</f>
        <v>37</v>
      </c>
      <c r="S18" s="195"/>
      <c r="T18" s="195"/>
      <c r="U18" s="195"/>
      <c r="V18" s="195"/>
      <c r="W18" s="195"/>
      <c r="X18" s="195"/>
      <c r="Y18" s="195"/>
      <c r="AA18" s="503" t="s">
        <v>17</v>
      </c>
      <c r="AB18" s="503"/>
      <c r="AC18" s="374"/>
      <c r="AD18" s="375">
        <f>+(AE19+AG19)*AJ19</f>
        <v>0</v>
      </c>
      <c r="AE18" s="390"/>
      <c r="AF18" s="390"/>
      <c r="AG18" s="390"/>
    </row>
    <row r="19" spans="1:42" ht="18" x14ac:dyDescent="0.25">
      <c r="A19" s="107">
        <f>+H19</f>
        <v>0</v>
      </c>
      <c r="B19" s="141">
        <f>FLOOR(A19,1)</f>
        <v>0</v>
      </c>
      <c r="C19" s="141">
        <f>+A19-B19</f>
        <v>0</v>
      </c>
      <c r="D19" s="141">
        <f t="shared" si="10"/>
        <v>0</v>
      </c>
      <c r="E19" s="164">
        <f>+D19+B19</f>
        <v>0</v>
      </c>
      <c r="G19" s="24" t="s">
        <v>49</v>
      </c>
      <c r="H19" s="107">
        <f>+H15</f>
        <v>0</v>
      </c>
      <c r="J19" s="52" t="s">
        <v>47</v>
      </c>
      <c r="K19" s="52"/>
      <c r="L19" s="107">
        <f>+R15</f>
        <v>0</v>
      </c>
      <c r="M19" s="196"/>
      <c r="N19" s="107">
        <f>IF(R15&gt;0,R15,0)</f>
        <v>0</v>
      </c>
      <c r="O19" s="141">
        <f>FLOOR(N19,1)</f>
        <v>0</v>
      </c>
      <c r="P19" s="141">
        <f>+N19-O19</f>
        <v>0</v>
      </c>
      <c r="Q19" s="141">
        <f t="shared" ref="Q19:Q27" si="11">+P19/60*100</f>
        <v>0</v>
      </c>
      <c r="R19" s="164">
        <f>+Q19+O19</f>
        <v>0</v>
      </c>
      <c r="S19" s="394"/>
      <c r="T19" s="394"/>
      <c r="U19" s="394"/>
      <c r="V19" s="394"/>
      <c r="W19" s="394"/>
      <c r="X19" s="394"/>
      <c r="Y19" s="394"/>
      <c r="AA19" s="504" t="s">
        <v>17</v>
      </c>
      <c r="AB19" s="504"/>
      <c r="AC19" s="467"/>
      <c r="AD19" s="468">
        <v>0</v>
      </c>
      <c r="AE19" s="335">
        <f>FLOOR(AD19*AJ19,1)</f>
        <v>0</v>
      </c>
      <c r="AF19" s="335">
        <f>+(AD19*AJ19)-AE19</f>
        <v>0</v>
      </c>
      <c r="AG19" s="335">
        <f>+AF19/60*100</f>
        <v>0</v>
      </c>
      <c r="AH19" s="336" t="str">
        <f>IF(AB19="","",AG19+AE19)</f>
        <v/>
      </c>
      <c r="AJ19">
        <f>IF(AD19&gt;=0,1,-1)</f>
        <v>1</v>
      </c>
      <c r="AM19" s="335"/>
      <c r="AN19" s="335"/>
      <c r="AO19" s="335"/>
      <c r="AP19" s="336"/>
    </row>
    <row r="20" spans="1:42" ht="15" x14ac:dyDescent="0.25">
      <c r="A20" s="107">
        <f>IF(Maj!U$40&lt;&gt;0,Maj!U$40,0)</f>
        <v>0</v>
      </c>
      <c r="B20" s="141">
        <f t="shared" ref="B20:B27" si="12">FLOOR(A20,1)</f>
        <v>0</v>
      </c>
      <c r="C20" s="141">
        <f>+A20-B20</f>
        <v>0</v>
      </c>
      <c r="D20" s="141">
        <f t="shared" si="10"/>
        <v>0</v>
      </c>
      <c r="E20" s="164">
        <f>+D20+B20</f>
        <v>0</v>
      </c>
      <c r="G20" s="24" t="s">
        <v>24</v>
      </c>
      <c r="H20" s="107" t="str">
        <f>IF(Maj!U$40&lt;&gt;0,Maj!U$40,"")</f>
        <v/>
      </c>
      <c r="J20" s="24" t="s">
        <v>24</v>
      </c>
      <c r="K20" s="24"/>
      <c r="L20" s="107" t="str">
        <f>IF(Maj!AD$40&lt;&gt;0,Maj!AD$40,"")</f>
        <v/>
      </c>
      <c r="M20" s="196"/>
      <c r="N20" s="107">
        <f>IF(Maj!AD$40&lt;&gt;0,Maj!AD$40,0)</f>
        <v>0</v>
      </c>
      <c r="O20" s="141">
        <f t="shared" ref="O20:O27" si="13">FLOOR(N20,1)</f>
        <v>0</v>
      </c>
      <c r="P20" s="141">
        <f t="shared" ref="P20:P27" si="14">+N20-O20</f>
        <v>0</v>
      </c>
      <c r="Q20" s="141">
        <f t="shared" si="11"/>
        <v>0</v>
      </c>
      <c r="R20" s="164">
        <f t="shared" ref="R20:R27" si="15">+Q20+O20</f>
        <v>0</v>
      </c>
      <c r="S20" s="196"/>
      <c r="T20" s="196"/>
      <c r="U20" s="196"/>
      <c r="V20" s="196"/>
      <c r="W20" s="196"/>
      <c r="X20" s="196"/>
      <c r="Y20" s="196"/>
    </row>
    <row r="21" spans="1:42" ht="15" x14ac:dyDescent="0.25">
      <c r="A21" s="107">
        <f>IF(Jun!U$39&lt;&gt;0,Jun!U$39,0)</f>
        <v>0</v>
      </c>
      <c r="B21" s="141">
        <f t="shared" si="12"/>
        <v>0</v>
      </c>
      <c r="C21" s="141">
        <f t="shared" ref="C21:C27" si="16">+A21-B21</f>
        <v>0</v>
      </c>
      <c r="D21" s="141">
        <f t="shared" si="10"/>
        <v>0</v>
      </c>
      <c r="E21" s="164">
        <f t="shared" ref="E21:E27" si="17">+D21+B21</f>
        <v>0</v>
      </c>
      <c r="G21" s="24" t="s">
        <v>25</v>
      </c>
      <c r="H21" s="107" t="str">
        <f>IF(Jun!U$39&lt;&gt;0,Jun!U$39,"")</f>
        <v/>
      </c>
      <c r="J21" s="24" t="s">
        <v>25</v>
      </c>
      <c r="K21" s="24"/>
      <c r="L21" s="107" t="str">
        <f>IF(Jun!AD$39&lt;&gt;0,Jun!AD$39,"")</f>
        <v/>
      </c>
      <c r="M21" s="196"/>
      <c r="N21" s="107">
        <f>IF(Jun!AD$39&lt;&gt;0,Jun!AD$39,0)</f>
        <v>0</v>
      </c>
      <c r="O21" s="141">
        <f t="shared" si="13"/>
        <v>0</v>
      </c>
      <c r="P21" s="141">
        <f t="shared" si="14"/>
        <v>0</v>
      </c>
      <c r="Q21" s="141">
        <f t="shared" si="11"/>
        <v>0</v>
      </c>
      <c r="R21" s="164">
        <f t="shared" si="15"/>
        <v>0</v>
      </c>
      <c r="S21" s="196"/>
      <c r="T21" s="196"/>
      <c r="U21" s="196"/>
      <c r="V21" s="196"/>
      <c r="W21" s="196"/>
      <c r="X21" s="196"/>
      <c r="Y21" s="196"/>
    </row>
    <row r="22" spans="1:42" ht="15" x14ac:dyDescent="0.25">
      <c r="A22" s="107">
        <f>IF(Jul!U$40&lt;&gt;0,Jul!U$40,0)</f>
        <v>0</v>
      </c>
      <c r="B22" s="141">
        <f t="shared" si="12"/>
        <v>0</v>
      </c>
      <c r="C22" s="141">
        <f t="shared" si="16"/>
        <v>0</v>
      </c>
      <c r="D22" s="141">
        <f t="shared" si="10"/>
        <v>0</v>
      </c>
      <c r="E22" s="164">
        <f t="shared" si="17"/>
        <v>0</v>
      </c>
      <c r="G22" s="24" t="s">
        <v>26</v>
      </c>
      <c r="H22" s="107" t="str">
        <f>IF(Jul!U$40&lt;&gt;0,Jul!U$40,"")</f>
        <v/>
      </c>
      <c r="J22" s="24" t="s">
        <v>26</v>
      </c>
      <c r="K22" s="24"/>
      <c r="L22" s="107" t="str">
        <f>IF(Jul!AD$40&lt;&gt;0,Jul!AD$40,"")</f>
        <v/>
      </c>
      <c r="M22" s="196"/>
      <c r="N22" s="107">
        <f>IF(Jul!AD$40&lt;&gt;0,Jul!AD$40,0)</f>
        <v>0</v>
      </c>
      <c r="O22" s="141">
        <f t="shared" si="13"/>
        <v>0</v>
      </c>
      <c r="P22" s="141">
        <f t="shared" si="14"/>
        <v>0</v>
      </c>
      <c r="Q22" s="141">
        <f t="shared" si="11"/>
        <v>0</v>
      </c>
      <c r="R22" s="164">
        <f t="shared" si="15"/>
        <v>0</v>
      </c>
      <c r="S22" s="196"/>
      <c r="T22" s="196"/>
      <c r="U22" s="196"/>
      <c r="V22" s="196"/>
      <c r="W22" s="196"/>
      <c r="X22" s="196"/>
      <c r="Y22" s="196"/>
    </row>
    <row r="23" spans="1:42" ht="15" x14ac:dyDescent="0.25">
      <c r="A23" s="107">
        <f>IF(Aug!U$40&lt;&gt;0,Aug!U$40,0)</f>
        <v>0</v>
      </c>
      <c r="B23" s="141">
        <f t="shared" si="12"/>
        <v>0</v>
      </c>
      <c r="C23" s="141">
        <f t="shared" si="16"/>
        <v>0</v>
      </c>
      <c r="D23" s="141">
        <f t="shared" si="10"/>
        <v>0</v>
      </c>
      <c r="E23" s="164">
        <f t="shared" si="17"/>
        <v>0</v>
      </c>
      <c r="G23" s="24" t="s">
        <v>27</v>
      </c>
      <c r="H23" s="107" t="str">
        <f>IF(Aug!U$40&lt;&gt;0,Aug!U$40,"")</f>
        <v/>
      </c>
      <c r="J23" s="24" t="s">
        <v>27</v>
      </c>
      <c r="K23" s="24"/>
      <c r="L23" s="107" t="str">
        <f>IF(Aug!AD$40&lt;&gt;0,Aug!AD$40,"")</f>
        <v/>
      </c>
      <c r="M23" s="196"/>
      <c r="N23" s="107">
        <f>IF(Aug!AD$40&lt;&gt;0,Aug!AD$40,0)</f>
        <v>0</v>
      </c>
      <c r="O23" s="141">
        <f t="shared" si="13"/>
        <v>0</v>
      </c>
      <c r="P23" s="141">
        <f t="shared" si="14"/>
        <v>0</v>
      </c>
      <c r="Q23" s="141">
        <f t="shared" si="11"/>
        <v>0</v>
      </c>
      <c r="R23" s="164">
        <f t="shared" si="15"/>
        <v>0</v>
      </c>
      <c r="S23" s="196"/>
      <c r="T23" s="196"/>
      <c r="U23" s="196"/>
      <c r="V23" s="196"/>
      <c r="W23" s="196"/>
      <c r="X23" s="196"/>
      <c r="Y23" s="196"/>
    </row>
    <row r="24" spans="1:42" ht="15" x14ac:dyDescent="0.25">
      <c r="A24" s="107">
        <f>IF(Sep!U$39&lt;&gt;0,Sep!U$39,0)</f>
        <v>0</v>
      </c>
      <c r="B24" s="141">
        <f t="shared" si="12"/>
        <v>0</v>
      </c>
      <c r="C24" s="141">
        <f t="shared" si="16"/>
        <v>0</v>
      </c>
      <c r="D24" s="141">
        <f t="shared" si="10"/>
        <v>0</v>
      </c>
      <c r="E24" s="164">
        <f t="shared" si="17"/>
        <v>0</v>
      </c>
      <c r="G24" s="24" t="s">
        <v>28</v>
      </c>
      <c r="H24" s="107" t="str">
        <f>IF(Sep!U$39&lt;&gt;0,Sep!U$39,"")</f>
        <v/>
      </c>
      <c r="J24" s="24" t="s">
        <v>28</v>
      </c>
      <c r="K24" s="24"/>
      <c r="L24" s="107" t="str">
        <f>IF(Sep!AD$39&lt;&gt;0,Sep!AD$39,"")</f>
        <v/>
      </c>
      <c r="M24" s="196"/>
      <c r="N24" s="107">
        <f>IF(Sep!AD$39&lt;&gt;0,Sep!AD$39,0)</f>
        <v>0</v>
      </c>
      <c r="O24" s="141">
        <f t="shared" si="13"/>
        <v>0</v>
      </c>
      <c r="P24" s="141">
        <f t="shared" si="14"/>
        <v>0</v>
      </c>
      <c r="Q24" s="141">
        <f t="shared" si="11"/>
        <v>0</v>
      </c>
      <c r="R24" s="164">
        <f t="shared" si="15"/>
        <v>0</v>
      </c>
      <c r="S24" s="196"/>
      <c r="T24" s="196"/>
      <c r="U24" s="196"/>
      <c r="V24" s="196"/>
      <c r="W24" s="196"/>
      <c r="X24" s="196"/>
      <c r="Y24" s="196"/>
    </row>
    <row r="25" spans="1:42" ht="15" x14ac:dyDescent="0.25">
      <c r="A25" s="107">
        <f>IF(Okt!U$40&lt;&gt;0,Okt!U$40,0)</f>
        <v>0</v>
      </c>
      <c r="B25" s="141">
        <f t="shared" si="12"/>
        <v>0</v>
      </c>
      <c r="C25" s="141">
        <f t="shared" si="16"/>
        <v>0</v>
      </c>
      <c r="D25" s="141">
        <f t="shared" si="10"/>
        <v>0</v>
      </c>
      <c r="E25" s="164">
        <f t="shared" si="17"/>
        <v>0</v>
      </c>
      <c r="G25" s="24" t="s">
        <v>29</v>
      </c>
      <c r="H25" s="107" t="str">
        <f>IF(Okt!U$40&lt;&gt;0,Okt!U$40,"")</f>
        <v/>
      </c>
      <c r="J25" s="24" t="s">
        <v>29</v>
      </c>
      <c r="K25" s="24"/>
      <c r="L25" s="107" t="str">
        <f>IF(Okt!AD$40&lt;&gt;0,Okt!AD$40,"")</f>
        <v/>
      </c>
      <c r="M25" s="196"/>
      <c r="N25" s="107">
        <f>IF(Okt!AD$40&lt;&gt;0,Okt!AD$40,0)</f>
        <v>0</v>
      </c>
      <c r="O25" s="141">
        <f t="shared" si="13"/>
        <v>0</v>
      </c>
      <c r="P25" s="141">
        <f t="shared" si="14"/>
        <v>0</v>
      </c>
      <c r="Q25" s="141">
        <f t="shared" si="11"/>
        <v>0</v>
      </c>
      <c r="R25" s="164">
        <f t="shared" si="15"/>
        <v>0</v>
      </c>
      <c r="S25" s="196"/>
      <c r="T25" s="196"/>
      <c r="U25" s="196"/>
      <c r="V25" s="196"/>
      <c r="W25" s="196"/>
      <c r="X25" s="196"/>
      <c r="Y25" s="196"/>
    </row>
    <row r="26" spans="1:42" ht="15" x14ac:dyDescent="0.25">
      <c r="A26" s="107">
        <f>IF(Nov!U$39&lt;&gt;0,Nov!U$39,0)</f>
        <v>0</v>
      </c>
      <c r="B26" s="141">
        <f t="shared" si="12"/>
        <v>0</v>
      </c>
      <c r="C26" s="141">
        <f t="shared" si="16"/>
        <v>0</v>
      </c>
      <c r="D26" s="141">
        <f t="shared" si="10"/>
        <v>0</v>
      </c>
      <c r="E26" s="164">
        <f t="shared" si="17"/>
        <v>0</v>
      </c>
      <c r="G26" s="24" t="s">
        <v>30</v>
      </c>
      <c r="H26" s="107" t="str">
        <f>IF(Nov!U$39&lt;&gt;0,Nov!U$39,"")</f>
        <v/>
      </c>
      <c r="J26" s="24" t="s">
        <v>30</v>
      </c>
      <c r="K26" s="24"/>
      <c r="L26" s="107" t="str">
        <f>IF(Nov!AD$39&lt;&gt;0,Nov!AD$39,"")</f>
        <v/>
      </c>
      <c r="M26" s="196"/>
      <c r="N26" s="107">
        <f>IF(Nov!AD$39&lt;&gt;0,Nov!AD$39,0)</f>
        <v>0</v>
      </c>
      <c r="O26" s="141">
        <f t="shared" si="13"/>
        <v>0</v>
      </c>
      <c r="P26" s="141">
        <f t="shared" si="14"/>
        <v>0</v>
      </c>
      <c r="Q26" s="141">
        <f t="shared" si="11"/>
        <v>0</v>
      </c>
      <c r="R26" s="164">
        <f t="shared" si="15"/>
        <v>0</v>
      </c>
      <c r="S26" s="196"/>
      <c r="T26" s="196"/>
      <c r="U26" s="196"/>
      <c r="V26" s="196"/>
      <c r="W26" s="196"/>
      <c r="X26" s="196"/>
      <c r="Y26" s="196"/>
    </row>
    <row r="27" spans="1:42" ht="15.75" thickBot="1" x14ac:dyDescent="0.3">
      <c r="A27" s="108">
        <f>IF(Dec!V$40&lt;&gt;0,Dec!V$40,0)</f>
        <v>0</v>
      </c>
      <c r="B27" s="141">
        <f t="shared" si="12"/>
        <v>0</v>
      </c>
      <c r="C27" s="141">
        <f t="shared" si="16"/>
        <v>0</v>
      </c>
      <c r="D27" s="141">
        <f t="shared" si="10"/>
        <v>0</v>
      </c>
      <c r="E27" s="164">
        <f t="shared" si="17"/>
        <v>0</v>
      </c>
      <c r="G27" s="22" t="s">
        <v>31</v>
      </c>
      <c r="H27" s="108" t="str">
        <f>IF(Dec!V$40&lt;&gt;0,Dec!V$40,"")</f>
        <v/>
      </c>
      <c r="J27" s="22" t="s">
        <v>31</v>
      </c>
      <c r="K27" s="22"/>
      <c r="L27" s="108" t="str">
        <f>IF(Dec!AE$40&lt;&gt;0,Dec!AE$40,"")</f>
        <v/>
      </c>
      <c r="M27" s="196"/>
      <c r="N27" s="108">
        <f>IF(Dec!AE$40&lt;&gt;0,Dec!AE$40,0)</f>
        <v>0</v>
      </c>
      <c r="O27" s="141">
        <f t="shared" si="13"/>
        <v>0</v>
      </c>
      <c r="P27" s="141">
        <f t="shared" si="14"/>
        <v>0</v>
      </c>
      <c r="Q27" s="141">
        <f t="shared" si="11"/>
        <v>0</v>
      </c>
      <c r="R27" s="164">
        <f t="shared" si="15"/>
        <v>0</v>
      </c>
      <c r="S27" s="196"/>
      <c r="T27" s="196"/>
      <c r="U27" s="196"/>
      <c r="V27" s="196"/>
      <c r="W27" s="196"/>
      <c r="X27" s="196"/>
      <c r="Y27" s="196"/>
    </row>
    <row r="28" spans="1:42" ht="15.75" thickBot="1" x14ac:dyDescent="0.3">
      <c r="A28" s="396">
        <f>+E18+E19-SUM(A20:A27)</f>
        <v>185</v>
      </c>
      <c r="B28" s="392">
        <f>FLOOR(A28,1)</f>
        <v>185</v>
      </c>
      <c r="C28" s="392">
        <f>+A28-B28</f>
        <v>0</v>
      </c>
      <c r="D28" s="392">
        <f>+C28/100*60</f>
        <v>0</v>
      </c>
      <c r="E28" s="393">
        <f>+D28+B28</f>
        <v>185</v>
      </c>
      <c r="G28" s="23" t="str">
        <f>"Rest ferietimer i alt"</f>
        <v>Rest ferietimer i alt</v>
      </c>
      <c r="H28" s="37">
        <f>+E28</f>
        <v>185</v>
      </c>
      <c r="J28" s="53" t="str">
        <f>"Rest 6. ferieuge timer"</f>
        <v>Rest 6. ferieuge timer</v>
      </c>
      <c r="K28" s="22"/>
      <c r="L28" s="54">
        <f>+R28</f>
        <v>37</v>
      </c>
      <c r="M28" s="21"/>
      <c r="N28" s="54">
        <f>+R18+R19-SUM(R20:R27)</f>
        <v>37</v>
      </c>
      <c r="O28" s="392">
        <f>FLOOR(N28,1)</f>
        <v>37</v>
      </c>
      <c r="P28" s="392">
        <f>+N28-O28</f>
        <v>0</v>
      </c>
      <c r="Q28" s="392">
        <f>+P28/100*60</f>
        <v>0</v>
      </c>
      <c r="R28" s="393">
        <f>+Q28+O28</f>
        <v>37</v>
      </c>
      <c r="S28" s="394"/>
      <c r="T28" s="394"/>
      <c r="U28" s="394"/>
      <c r="V28" s="394"/>
      <c r="W28" s="394"/>
      <c r="X28" s="394"/>
      <c r="Y28" s="394"/>
    </row>
    <row r="29" spans="1:42" x14ac:dyDescent="0.2">
      <c r="G29" s="20"/>
      <c r="H29" s="20"/>
      <c r="J29" s="501" t="s">
        <v>46</v>
      </c>
      <c r="K29" s="501"/>
      <c r="L29" s="28">
        <f>SUM(L37:L44)</f>
        <v>0</v>
      </c>
      <c r="M29" s="197"/>
      <c r="N29" s="28">
        <f>SUM(N37:N44)</f>
        <v>0</v>
      </c>
      <c r="O29" s="197"/>
      <c r="P29" s="197"/>
      <c r="Q29" s="197"/>
      <c r="R29" s="197"/>
      <c r="S29" s="197"/>
      <c r="T29" s="197"/>
      <c r="U29" s="197"/>
      <c r="V29" s="197"/>
      <c r="W29" s="197"/>
      <c r="X29" s="197"/>
      <c r="Y29" s="197"/>
    </row>
    <row r="30" spans="1:42" x14ac:dyDescent="0.2">
      <c r="G30" s="20"/>
      <c r="H30" s="20"/>
      <c r="J30" s="502" t="s">
        <v>35</v>
      </c>
      <c r="K30" s="502"/>
      <c r="L30" s="28">
        <f>+L28-L29</f>
        <v>37</v>
      </c>
      <c r="M30" s="197"/>
      <c r="N30" s="28">
        <f>+N28-N29</f>
        <v>37</v>
      </c>
      <c r="O30" s="197"/>
      <c r="P30" s="197"/>
      <c r="Q30" s="197"/>
      <c r="R30" s="197"/>
      <c r="S30" s="197"/>
      <c r="T30" s="197"/>
      <c r="U30" s="197"/>
      <c r="V30" s="197"/>
      <c r="W30" s="197"/>
      <c r="X30" s="197"/>
      <c r="Y30" s="197"/>
    </row>
    <row r="31" spans="1:42" ht="13.5" thickBot="1" x14ac:dyDescent="0.25">
      <c r="A31">
        <v>3.17</v>
      </c>
      <c r="B31" t="s">
        <v>86</v>
      </c>
    </row>
    <row r="32" spans="1:42" ht="13.5" thickBot="1" x14ac:dyDescent="0.25">
      <c r="A32">
        <v>9.83</v>
      </c>
      <c r="G32" s="33" t="s">
        <v>110</v>
      </c>
      <c r="H32" s="34" t="s">
        <v>17</v>
      </c>
      <c r="I32" s="34" t="s">
        <v>96</v>
      </c>
      <c r="J32" s="34" t="s">
        <v>18</v>
      </c>
      <c r="K32" s="35" t="s">
        <v>19</v>
      </c>
      <c r="L32" s="35" t="s">
        <v>42</v>
      </c>
      <c r="M32" s="199"/>
      <c r="N32" s="199"/>
      <c r="O32" s="199"/>
      <c r="P32" s="199"/>
      <c r="Q32" s="199"/>
      <c r="R32" s="199"/>
      <c r="S32" s="199"/>
      <c r="T32" s="199"/>
      <c r="U32" s="199"/>
      <c r="V32" s="199"/>
      <c r="W32" s="199"/>
      <c r="X32" s="199"/>
      <c r="Y32" s="199"/>
      <c r="AA32" s="148" t="s">
        <v>74</v>
      </c>
      <c r="AB32" s="149"/>
      <c r="AC32" s="149"/>
      <c r="AD32" s="150"/>
    </row>
    <row r="33" spans="1:38" ht="15" x14ac:dyDescent="0.25">
      <c r="A33">
        <v>7.33</v>
      </c>
      <c r="G33" s="32" t="s">
        <v>20</v>
      </c>
      <c r="H33" s="109">
        <f>IF(måned&gt;=1,+Jan!AW$41,"")</f>
        <v>0</v>
      </c>
      <c r="I33" s="110">
        <f>IF(måned&gt;=1,+Jan!AW$42,"")</f>
        <v>171.34199999999998</v>
      </c>
      <c r="J33" s="110">
        <f>IF(måned&gt;=1,+Jan!AW$43,"")</f>
        <v>171.34199999999998</v>
      </c>
      <c r="K33" s="110">
        <f>IF(måned&gt;=1,+Jan!AW$44,"")</f>
        <v>0</v>
      </c>
      <c r="L33" s="40"/>
      <c r="M33" s="200"/>
      <c r="N33" s="200"/>
      <c r="O33" s="200"/>
      <c r="P33" s="200"/>
      <c r="Q33" s="200"/>
      <c r="R33" s="200"/>
      <c r="S33" s="200"/>
      <c r="T33" s="200"/>
      <c r="U33" s="200"/>
      <c r="V33" s="200"/>
      <c r="W33" s="200"/>
      <c r="X33" s="200"/>
      <c r="Y33" s="200"/>
      <c r="AA33" s="151" t="s">
        <v>20</v>
      </c>
      <c r="AB33" s="24"/>
      <c r="AC33" s="24"/>
      <c r="AD33" s="206">
        <f>+Jan!AN40</f>
        <v>0</v>
      </c>
      <c r="AE33" s="141">
        <f t="shared" ref="AE33:AE44" si="18">FLOOR(AD33,1)</f>
        <v>0</v>
      </c>
      <c r="AF33" s="141">
        <f>+AD33-AE33</f>
        <v>0</v>
      </c>
      <c r="AG33" s="141">
        <f>+AF33/60*100</f>
        <v>0</v>
      </c>
      <c r="AH33" s="164">
        <f>+AG33+AE33</f>
        <v>0</v>
      </c>
      <c r="AI33" s="141">
        <f t="shared" ref="AI33:AI44" si="19">FLOOR(AH33,1)</f>
        <v>0</v>
      </c>
      <c r="AJ33" s="141">
        <f t="shared" ref="AJ33:AJ44" si="20">+AH33-AI33</f>
        <v>0</v>
      </c>
      <c r="AK33" s="141">
        <f t="shared" ref="AK33:AK44" si="21">+AJ33/100*60</f>
        <v>0</v>
      </c>
      <c r="AL33" s="164">
        <f t="shared" ref="AL33:AL44" si="22">+AK33+AI33</f>
        <v>0</v>
      </c>
    </row>
    <row r="34" spans="1:38" ht="15" x14ac:dyDescent="0.25">
      <c r="A34">
        <v>3.17</v>
      </c>
      <c r="G34" s="24" t="s">
        <v>21</v>
      </c>
      <c r="H34" s="107">
        <f>IF(måned&gt;=2,+Feb!AV$39,"")</f>
        <v>0</v>
      </c>
      <c r="I34" s="110">
        <f>IF(måned&gt;=1,+Feb!AV$40,"")</f>
        <v>148.012</v>
      </c>
      <c r="J34" s="110">
        <f>IF(måned&gt;=1,+Feb!AV$41,"")</f>
        <v>148.01599999999999</v>
      </c>
      <c r="K34" s="111">
        <f>IF(måned&gt;=2,+Feb!AV42,"")</f>
        <v>-3.9999999999793083E-3</v>
      </c>
      <c r="L34" s="40"/>
      <c r="M34" s="200"/>
      <c r="N34" s="200"/>
      <c r="O34" s="200"/>
      <c r="P34" s="200"/>
      <c r="Q34" s="200"/>
      <c r="R34" s="200"/>
      <c r="S34" s="200"/>
      <c r="T34" s="200"/>
      <c r="U34" s="200"/>
      <c r="V34" s="200"/>
      <c r="W34" s="200"/>
      <c r="X34" s="200"/>
      <c r="Y34" s="200"/>
      <c r="AA34" s="151" t="s">
        <v>21</v>
      </c>
      <c r="AB34" s="24"/>
      <c r="AC34" s="24"/>
      <c r="AD34" s="206">
        <f>+Feb!AM38</f>
        <v>0</v>
      </c>
      <c r="AE34" s="141">
        <f t="shared" si="18"/>
        <v>0</v>
      </c>
      <c r="AF34" s="141">
        <f t="shared" ref="AF34:AF45" si="23">+AD34-AE34</f>
        <v>0</v>
      </c>
      <c r="AG34" s="141">
        <f t="shared" ref="AG34:AG45" si="24">+AF34/60*100</f>
        <v>0</v>
      </c>
      <c r="AH34" s="164">
        <f t="shared" ref="AH34:AH44" si="25">+AG34+AE34</f>
        <v>0</v>
      </c>
      <c r="AI34" s="141">
        <f t="shared" si="19"/>
        <v>0</v>
      </c>
      <c r="AJ34" s="141">
        <f t="shared" si="20"/>
        <v>0</v>
      </c>
      <c r="AK34" s="141">
        <f t="shared" si="21"/>
        <v>0</v>
      </c>
      <c r="AL34" s="164">
        <f t="shared" si="22"/>
        <v>0</v>
      </c>
    </row>
    <row r="35" spans="1:38" ht="15" x14ac:dyDescent="0.25">
      <c r="A35">
        <v>5.17</v>
      </c>
      <c r="G35" s="24" t="s">
        <v>22</v>
      </c>
      <c r="H35" s="107">
        <f>IF(måned&gt;=3,+Mar!AV$41,"")</f>
        <v>-3.9999999999793083E-3</v>
      </c>
      <c r="I35" s="110">
        <f>IF(måned&gt;=1,+Mar!AV$42,"")</f>
        <v>154.25800000000001</v>
      </c>
      <c r="J35" s="110">
        <f>IF(måned&gt;=1,+Mar!AV$43,"")</f>
        <v>154.256</v>
      </c>
      <c r="K35" s="111">
        <f>IF(måned&gt;=3,+Mar!AV$44,"")</f>
        <v>-1.999999999981128E-3</v>
      </c>
      <c r="L35" s="40"/>
      <c r="M35" s="200"/>
      <c r="N35" s="200"/>
      <c r="O35" s="200"/>
      <c r="P35" s="200"/>
      <c r="Q35" s="200"/>
      <c r="R35" s="200"/>
      <c r="S35" s="200"/>
      <c r="T35" s="200"/>
      <c r="U35" s="200"/>
      <c r="V35" s="200"/>
      <c r="W35" s="200"/>
      <c r="X35" s="200"/>
      <c r="Y35" s="200"/>
      <c r="AA35" s="151" t="s">
        <v>22</v>
      </c>
      <c r="AB35" s="24"/>
      <c r="AC35" s="24"/>
      <c r="AD35" s="206">
        <f>+Mar!AM40</f>
        <v>0</v>
      </c>
      <c r="AE35" s="141">
        <f t="shared" si="18"/>
        <v>0</v>
      </c>
      <c r="AF35" s="141">
        <f t="shared" si="23"/>
        <v>0</v>
      </c>
      <c r="AG35" s="141">
        <f t="shared" si="24"/>
        <v>0</v>
      </c>
      <c r="AH35" s="164">
        <f t="shared" si="25"/>
        <v>0</v>
      </c>
      <c r="AI35" s="141">
        <f t="shared" si="19"/>
        <v>0</v>
      </c>
      <c r="AJ35" s="141">
        <f t="shared" si="20"/>
        <v>0</v>
      </c>
      <c r="AK35" s="141">
        <f t="shared" si="21"/>
        <v>0</v>
      </c>
      <c r="AL35" s="164">
        <f t="shared" si="22"/>
        <v>0</v>
      </c>
    </row>
    <row r="36" spans="1:38" ht="15" x14ac:dyDescent="0.25">
      <c r="A36">
        <v>3.17</v>
      </c>
      <c r="G36" s="24" t="s">
        <v>23</v>
      </c>
      <c r="H36" s="107">
        <f>IF(måned&gt;=4,+Apr!AV$40,"")</f>
        <v>-1.999999999981128E-3</v>
      </c>
      <c r="I36" s="110">
        <f>IF(måned&gt;=1,+Apr!AV$41,"")</f>
        <v>162.096</v>
      </c>
      <c r="J36" s="110">
        <f>IF(måned&gt;=1,+Apr!AV$42,"")</f>
        <v>162.09399999999999</v>
      </c>
      <c r="K36" s="111">
        <f>IF(måned&gt;=4,+Apr!AV$43,"")</f>
        <v>0</v>
      </c>
      <c r="L36" s="40"/>
      <c r="M36" s="200"/>
      <c r="N36" s="200"/>
      <c r="O36" s="200"/>
      <c r="P36" s="200"/>
      <c r="Q36" s="200"/>
      <c r="R36" s="200"/>
      <c r="S36" s="200"/>
      <c r="T36" s="200"/>
      <c r="U36" s="200"/>
      <c r="V36" s="200"/>
      <c r="W36" s="200"/>
      <c r="X36" s="200"/>
      <c r="Y36" s="200"/>
      <c r="AA36" s="151" t="s">
        <v>23</v>
      </c>
      <c r="AB36" s="24"/>
      <c r="AC36" s="24"/>
      <c r="AD36" s="206">
        <f>+Apr!AM39</f>
        <v>0</v>
      </c>
      <c r="AE36" s="141">
        <f t="shared" si="18"/>
        <v>0</v>
      </c>
      <c r="AF36" s="141">
        <f t="shared" si="23"/>
        <v>0</v>
      </c>
      <c r="AG36" s="141">
        <f t="shared" si="24"/>
        <v>0</v>
      </c>
      <c r="AH36" s="164">
        <f t="shared" si="25"/>
        <v>0</v>
      </c>
      <c r="AI36" s="141">
        <f t="shared" si="19"/>
        <v>0</v>
      </c>
      <c r="AJ36" s="141">
        <f t="shared" si="20"/>
        <v>0</v>
      </c>
      <c r="AK36" s="141">
        <f t="shared" si="21"/>
        <v>0</v>
      </c>
      <c r="AL36" s="164">
        <f t="shared" si="22"/>
        <v>0</v>
      </c>
    </row>
    <row r="37" spans="1:38" ht="15" x14ac:dyDescent="0.25">
      <c r="A37">
        <v>5.17</v>
      </c>
      <c r="G37" s="24" t="s">
        <v>24</v>
      </c>
      <c r="H37" s="107">
        <f>IF(måned&gt;=5,+Maj!AV$41,"")</f>
        <v>0</v>
      </c>
      <c r="I37" s="110">
        <f>IF(måned&gt;=1,+Maj!AV$42,"")</f>
        <v>154.25800000000001</v>
      </c>
      <c r="J37" s="110">
        <f>IF(måned&gt;=1,+Maj!AV$43,"")</f>
        <v>154.25799999999998</v>
      </c>
      <c r="K37" s="111">
        <f>IF(måned&gt;=5,+Maj!AV$44,"")</f>
        <v>0</v>
      </c>
      <c r="L37" s="40"/>
      <c r="M37" s="200"/>
      <c r="N37" s="200"/>
      <c r="O37" s="200"/>
      <c r="P37" s="200"/>
      <c r="Q37" s="200"/>
      <c r="R37" s="200"/>
      <c r="S37" s="200"/>
      <c r="T37" s="200"/>
      <c r="U37" s="200"/>
      <c r="V37" s="200"/>
      <c r="W37" s="200"/>
      <c r="X37" s="200"/>
      <c r="Y37" s="200"/>
      <c r="AA37" s="151" t="s">
        <v>24</v>
      </c>
      <c r="AB37" s="24"/>
      <c r="AC37" s="24"/>
      <c r="AD37" s="206">
        <f>+Maj!AM40</f>
        <v>0</v>
      </c>
      <c r="AE37" s="141">
        <f t="shared" si="18"/>
        <v>0</v>
      </c>
      <c r="AF37" s="141">
        <f t="shared" si="23"/>
        <v>0</v>
      </c>
      <c r="AG37" s="141">
        <f t="shared" si="24"/>
        <v>0</v>
      </c>
      <c r="AH37" s="164">
        <f t="shared" si="25"/>
        <v>0</v>
      </c>
      <c r="AI37" s="141">
        <f t="shared" si="19"/>
        <v>0</v>
      </c>
      <c r="AJ37" s="141">
        <f t="shared" si="20"/>
        <v>0</v>
      </c>
      <c r="AK37" s="141">
        <f t="shared" si="21"/>
        <v>0</v>
      </c>
      <c r="AL37" s="164">
        <f t="shared" si="22"/>
        <v>0</v>
      </c>
    </row>
    <row r="38" spans="1:38" ht="15" x14ac:dyDescent="0.25">
      <c r="A38">
        <v>3.17</v>
      </c>
      <c r="G38" s="24" t="s">
        <v>25</v>
      </c>
      <c r="H38" s="107">
        <f>IF(måned&gt;=6,+Jun!AV$40,"")</f>
        <v>0</v>
      </c>
      <c r="I38" s="110">
        <f>IF(måned&gt;=1,+Jun!AV$41,"")</f>
        <v>140.57599999999999</v>
      </c>
      <c r="J38" s="110">
        <f>IF(måned&gt;=1,+Jun!AV$42,"")</f>
        <v>140.57599999999999</v>
      </c>
      <c r="K38" s="111">
        <f>IF(måned&gt;=6,+Jun!AV$43,"")</f>
        <v>0</v>
      </c>
      <c r="L38" s="40"/>
      <c r="M38" s="200"/>
      <c r="N38" s="200"/>
      <c r="O38" s="200"/>
      <c r="P38" s="200"/>
      <c r="Q38" s="200"/>
      <c r="R38" s="200"/>
      <c r="S38" s="200"/>
      <c r="T38" s="200"/>
      <c r="U38" s="200"/>
      <c r="V38" s="200"/>
      <c r="W38" s="200"/>
      <c r="X38" s="200"/>
      <c r="Y38" s="200"/>
      <c r="AA38" s="151" t="s">
        <v>25</v>
      </c>
      <c r="AB38" s="24"/>
      <c r="AC38" s="24"/>
      <c r="AD38" s="206">
        <f>+Jun!AM39</f>
        <v>0</v>
      </c>
      <c r="AE38" s="141">
        <f t="shared" si="18"/>
        <v>0</v>
      </c>
      <c r="AF38" s="141">
        <f t="shared" si="23"/>
        <v>0</v>
      </c>
      <c r="AG38" s="141">
        <f t="shared" si="24"/>
        <v>0</v>
      </c>
      <c r="AH38" s="164">
        <f t="shared" si="25"/>
        <v>0</v>
      </c>
      <c r="AI38" s="141">
        <f t="shared" si="19"/>
        <v>0</v>
      </c>
      <c r="AJ38" s="141">
        <f t="shared" si="20"/>
        <v>0</v>
      </c>
      <c r="AK38" s="141">
        <f t="shared" si="21"/>
        <v>0</v>
      </c>
      <c r="AL38" s="164">
        <f t="shared" si="22"/>
        <v>0</v>
      </c>
    </row>
    <row r="39" spans="1:38" ht="15" x14ac:dyDescent="0.25">
      <c r="A39">
        <v>5.17</v>
      </c>
      <c r="G39" s="24" t="s">
        <v>26</v>
      </c>
      <c r="H39" s="107">
        <f>IF(måned&gt;=7,+Jul!AV$41,"")</f>
        <v>0</v>
      </c>
      <c r="I39" s="110">
        <f>IF(måned&gt;=1,+Jul!AV$42,"")</f>
        <v>169.13200000000001</v>
      </c>
      <c r="J39" s="110">
        <f>IF(måned&gt;=1,+Jul!AV$43,"")</f>
        <v>169.13399999999999</v>
      </c>
      <c r="K39" s="111">
        <f>IF(måned&gt;=7,+Jul!AV$44,"")</f>
        <v>-1.9999999999981812E-3</v>
      </c>
      <c r="L39" s="40"/>
      <c r="M39" s="200"/>
      <c r="N39" s="200"/>
      <c r="O39" s="200"/>
      <c r="P39" s="200"/>
      <c r="Q39" s="200"/>
      <c r="R39" s="200"/>
      <c r="S39" s="200"/>
      <c r="T39" s="200"/>
      <c r="U39" s="200"/>
      <c r="V39" s="200"/>
      <c r="W39" s="200"/>
      <c r="X39" s="200"/>
      <c r="Y39" s="200"/>
      <c r="AA39" s="151" t="s">
        <v>26</v>
      </c>
      <c r="AB39" s="24"/>
      <c r="AC39" s="24"/>
      <c r="AD39" s="206">
        <f>+Jul!AM40</f>
        <v>0</v>
      </c>
      <c r="AE39" s="141">
        <f t="shared" si="18"/>
        <v>0</v>
      </c>
      <c r="AF39" s="141">
        <f t="shared" si="23"/>
        <v>0</v>
      </c>
      <c r="AG39" s="141">
        <f t="shared" si="24"/>
        <v>0</v>
      </c>
      <c r="AH39" s="164">
        <f t="shared" si="25"/>
        <v>0</v>
      </c>
      <c r="AI39" s="141">
        <f t="shared" si="19"/>
        <v>0</v>
      </c>
      <c r="AJ39" s="141">
        <f t="shared" si="20"/>
        <v>0</v>
      </c>
      <c r="AK39" s="141">
        <f t="shared" si="21"/>
        <v>0</v>
      </c>
      <c r="AL39" s="164">
        <f t="shared" si="22"/>
        <v>0</v>
      </c>
    </row>
    <row r="40" spans="1:38" ht="15" x14ac:dyDescent="0.25">
      <c r="A40">
        <v>3.17</v>
      </c>
      <c r="G40" s="24" t="s">
        <v>27</v>
      </c>
      <c r="H40" s="107">
        <f>IF(måned&gt;=8,+Aug!AV$41,"")</f>
        <v>-1.9999999999981812E-3</v>
      </c>
      <c r="I40" s="110">
        <f>IF(måned&gt;=1,Aug!AV$42,"")</f>
        <v>163.50399999999999</v>
      </c>
      <c r="J40" s="110">
        <f>IF(måned&gt;=1,Aug!AV$43,"")</f>
        <v>163.50200000000001</v>
      </c>
      <c r="K40" s="111">
        <f>IF(måned&gt;=8,+Aug!AV$44,"")</f>
        <v>0</v>
      </c>
      <c r="L40" s="40"/>
      <c r="M40" s="200"/>
      <c r="N40" s="200"/>
      <c r="O40" s="200"/>
      <c r="P40" s="200"/>
      <c r="Q40" s="200"/>
      <c r="R40" s="200"/>
      <c r="S40" s="200"/>
      <c r="T40" s="200"/>
      <c r="U40" s="200"/>
      <c r="V40" s="200"/>
      <c r="W40" s="200"/>
      <c r="X40" s="200"/>
      <c r="Y40" s="200"/>
      <c r="AA40" s="151" t="s">
        <v>27</v>
      </c>
      <c r="AB40" s="24"/>
      <c r="AC40" s="24"/>
      <c r="AD40" s="206">
        <f>+Aug!AM40</f>
        <v>0</v>
      </c>
      <c r="AE40" s="141">
        <f t="shared" si="18"/>
        <v>0</v>
      </c>
      <c r="AF40" s="141">
        <f t="shared" si="23"/>
        <v>0</v>
      </c>
      <c r="AG40" s="141">
        <f t="shared" si="24"/>
        <v>0</v>
      </c>
      <c r="AH40" s="164">
        <f t="shared" si="25"/>
        <v>0</v>
      </c>
      <c r="AI40" s="141">
        <f t="shared" si="19"/>
        <v>0</v>
      </c>
      <c r="AJ40" s="141">
        <f t="shared" si="20"/>
        <v>0</v>
      </c>
      <c r="AK40" s="141">
        <f t="shared" si="21"/>
        <v>0</v>
      </c>
      <c r="AL40" s="164">
        <f t="shared" si="22"/>
        <v>0</v>
      </c>
    </row>
    <row r="41" spans="1:38" ht="15" x14ac:dyDescent="0.25">
      <c r="A41">
        <v>5.17</v>
      </c>
      <c r="G41" s="24" t="s">
        <v>28</v>
      </c>
      <c r="H41" s="107">
        <f>IF(måned&gt;=9,+Sep!AV$40,"")</f>
        <v>0</v>
      </c>
      <c r="I41" s="110">
        <f>IF(måned&gt;=1,+Sep!AV$41,"")</f>
        <v>155.054</v>
      </c>
      <c r="J41" s="110">
        <f>IF(måned&gt;=1,+Sep!AV$42,"")</f>
        <v>155.054</v>
      </c>
      <c r="K41" s="111">
        <f>IF(måned&gt;=9,+Sep!AV$43,"")</f>
        <v>0</v>
      </c>
      <c r="L41" s="40"/>
      <c r="M41" s="200"/>
      <c r="N41" s="200"/>
      <c r="O41" s="200"/>
      <c r="P41" s="200"/>
      <c r="Q41" s="200"/>
      <c r="R41" s="200"/>
      <c r="S41" s="200"/>
      <c r="T41" s="200"/>
      <c r="U41" s="200"/>
      <c r="V41" s="200"/>
      <c r="W41" s="200"/>
      <c r="X41" s="200"/>
      <c r="Y41" s="200"/>
      <c r="AA41" s="151" t="s">
        <v>28</v>
      </c>
      <c r="AB41" s="24"/>
      <c r="AC41" s="24"/>
      <c r="AD41" s="206">
        <f>+Sep!AM39</f>
        <v>0</v>
      </c>
      <c r="AE41" s="141">
        <f t="shared" si="18"/>
        <v>0</v>
      </c>
      <c r="AF41" s="141">
        <f t="shared" si="23"/>
        <v>0</v>
      </c>
      <c r="AG41" s="141">
        <f t="shared" si="24"/>
        <v>0</v>
      </c>
      <c r="AH41" s="164">
        <f t="shared" si="25"/>
        <v>0</v>
      </c>
      <c r="AI41" s="141">
        <f t="shared" si="19"/>
        <v>0</v>
      </c>
      <c r="AJ41" s="141">
        <f t="shared" si="20"/>
        <v>0</v>
      </c>
      <c r="AK41" s="141">
        <f t="shared" si="21"/>
        <v>0</v>
      </c>
      <c r="AL41" s="164">
        <f t="shared" si="22"/>
        <v>0</v>
      </c>
    </row>
    <row r="42" spans="1:38" ht="15" x14ac:dyDescent="0.25">
      <c r="A42">
        <v>3.17</v>
      </c>
      <c r="G42" s="24" t="s">
        <v>29</v>
      </c>
      <c r="H42" s="107">
        <f>IF(måned&gt;=10,+Okt!AV$41,"")</f>
        <v>0</v>
      </c>
      <c r="I42" s="110">
        <f>IF(måned&gt;=1,+Okt!AV$42,"")</f>
        <v>171.34199999999998</v>
      </c>
      <c r="J42" s="110">
        <f>IF(måned&gt;=1,+Okt!AV$43,"")</f>
        <v>171.34199999999998</v>
      </c>
      <c r="K42" s="111">
        <f>IF(måned&gt;=10,+Okt!AV$44,"")</f>
        <v>0</v>
      </c>
      <c r="L42" s="40"/>
      <c r="M42" s="200"/>
      <c r="N42" s="200"/>
      <c r="O42" s="200"/>
      <c r="P42" s="200"/>
      <c r="Q42" s="200"/>
      <c r="R42" s="200"/>
      <c r="S42" s="200"/>
      <c r="T42" s="200"/>
      <c r="U42" s="200"/>
      <c r="V42" s="200"/>
      <c r="W42" s="200"/>
      <c r="X42" s="200"/>
      <c r="Y42" s="200"/>
      <c r="AA42" s="151" t="s">
        <v>29</v>
      </c>
      <c r="AB42" s="24"/>
      <c r="AC42" s="24"/>
      <c r="AD42" s="206">
        <f>+Okt!AM40</f>
        <v>0</v>
      </c>
      <c r="AE42" s="141">
        <f t="shared" si="18"/>
        <v>0</v>
      </c>
      <c r="AF42" s="141">
        <f t="shared" si="23"/>
        <v>0</v>
      </c>
      <c r="AG42" s="141">
        <f t="shared" si="24"/>
        <v>0</v>
      </c>
      <c r="AH42" s="164">
        <f t="shared" si="25"/>
        <v>0</v>
      </c>
      <c r="AI42" s="141">
        <f t="shared" si="19"/>
        <v>0</v>
      </c>
      <c r="AJ42" s="141">
        <f t="shared" si="20"/>
        <v>0</v>
      </c>
      <c r="AK42" s="141">
        <f t="shared" si="21"/>
        <v>0</v>
      </c>
      <c r="AL42" s="164">
        <f t="shared" si="22"/>
        <v>0</v>
      </c>
    </row>
    <row r="43" spans="1:38" ht="15" x14ac:dyDescent="0.25">
      <c r="A43">
        <f>SUM(A31:A42)</f>
        <v>56.860000000000014</v>
      </c>
      <c r="G43" s="24" t="s">
        <v>30</v>
      </c>
      <c r="H43" s="107">
        <f>IF(måned&gt;=11,+Nov!AV$40,"")</f>
        <v>0</v>
      </c>
      <c r="I43" s="110">
        <f>IF(måned&gt;=1,+Nov!AV$41,"")</f>
        <v>154.25800000000001</v>
      </c>
      <c r="J43" s="110">
        <f>IF(måned&gt;=1,+Nov!AV$42,"")</f>
        <v>154.256</v>
      </c>
      <c r="K43" s="111">
        <f>IF(måned&gt;=11,+Nov!AV$43,"")</f>
        <v>2.0000000000152339E-3</v>
      </c>
      <c r="L43" s="40"/>
      <c r="M43" s="200"/>
      <c r="N43" s="200"/>
      <c r="O43" s="200"/>
      <c r="P43" s="200"/>
      <c r="Q43" s="200"/>
      <c r="R43" s="200"/>
      <c r="S43" s="200"/>
      <c r="T43" s="200"/>
      <c r="U43" s="200"/>
      <c r="V43" s="200"/>
      <c r="W43" s="200"/>
      <c r="X43" s="200"/>
      <c r="Y43" s="200"/>
      <c r="AA43" s="151" t="s">
        <v>30</v>
      </c>
      <c r="AB43" s="24"/>
      <c r="AC43" s="24"/>
      <c r="AD43" s="206">
        <f>+Nov!AM39</f>
        <v>0</v>
      </c>
      <c r="AE43" s="141">
        <f t="shared" si="18"/>
        <v>0</v>
      </c>
      <c r="AF43" s="141">
        <f t="shared" si="23"/>
        <v>0</v>
      </c>
      <c r="AG43" s="141">
        <f t="shared" si="24"/>
        <v>0</v>
      </c>
      <c r="AH43" s="164">
        <f t="shared" si="25"/>
        <v>0</v>
      </c>
      <c r="AI43" s="141">
        <f t="shared" si="19"/>
        <v>0</v>
      </c>
      <c r="AJ43" s="141">
        <f t="shared" si="20"/>
        <v>0</v>
      </c>
      <c r="AK43" s="141">
        <f t="shared" si="21"/>
        <v>0</v>
      </c>
      <c r="AL43" s="164">
        <f t="shared" si="22"/>
        <v>0</v>
      </c>
    </row>
    <row r="44" spans="1:38" ht="15.75" thickBot="1" x14ac:dyDescent="0.3">
      <c r="G44" s="24" t="s">
        <v>31</v>
      </c>
      <c r="H44" s="107">
        <f>IF(måned&gt;=12,+Dec!AW$41,"")</f>
        <v>2.0000000000152339E-3</v>
      </c>
      <c r="I44" s="111">
        <f>IF(måned&gt;=1,+Dec!AW$42,"")</f>
        <v>155.054</v>
      </c>
      <c r="J44" s="111">
        <f>IF(måned&gt;=1,+Dec!AW$43,"")</f>
        <v>155.054</v>
      </c>
      <c r="K44" s="111">
        <f>IF(måned&gt;=12,+Dec!AW$44,"")</f>
        <v>2.0000000000152339E-3</v>
      </c>
      <c r="L44" s="40"/>
      <c r="M44" s="200"/>
      <c r="N44" s="200"/>
      <c r="O44" s="200"/>
      <c r="P44" s="200"/>
      <c r="Q44" s="200"/>
      <c r="R44" s="200"/>
      <c r="S44" s="200"/>
      <c r="T44" s="200"/>
      <c r="U44" s="200"/>
      <c r="V44" s="200"/>
      <c r="W44" s="200"/>
      <c r="X44" s="200"/>
      <c r="Y44" s="200"/>
      <c r="AA44" s="152" t="s">
        <v>31</v>
      </c>
      <c r="AB44" s="26"/>
      <c r="AC44" s="26"/>
      <c r="AD44" s="207">
        <f>+Dec!AN40</f>
        <v>0</v>
      </c>
      <c r="AE44" s="141">
        <f t="shared" si="18"/>
        <v>0</v>
      </c>
      <c r="AF44" s="141">
        <f t="shared" si="23"/>
        <v>0</v>
      </c>
      <c r="AG44" s="141">
        <f t="shared" si="24"/>
        <v>0</v>
      </c>
      <c r="AH44" s="164">
        <f t="shared" si="25"/>
        <v>0</v>
      </c>
      <c r="AI44" s="141">
        <f t="shared" si="19"/>
        <v>0</v>
      </c>
      <c r="AJ44" s="141">
        <f t="shared" si="20"/>
        <v>0</v>
      </c>
      <c r="AK44" s="141">
        <f t="shared" si="21"/>
        <v>0</v>
      </c>
      <c r="AL44" s="164">
        <f t="shared" si="22"/>
        <v>0</v>
      </c>
    </row>
    <row r="45" spans="1:38" ht="15.75" thickBot="1" x14ac:dyDescent="0.3">
      <c r="A45" s="157">
        <f>+N9+N10+N11+N12+N20+N21+N22+N23+N24+N25+N26+N27</f>
        <v>0</v>
      </c>
      <c r="G45" s="283" t="s">
        <v>1</v>
      </c>
      <c r="H45" s="283"/>
      <c r="I45" s="284">
        <f>SUM(I33:I44)</f>
        <v>1898.8860000000002</v>
      </c>
      <c r="J45" s="284">
        <f>SUM(J33:J44)</f>
        <v>1898.8840000000002</v>
      </c>
      <c r="AA45" s="153" t="s">
        <v>1</v>
      </c>
      <c r="AB45" s="154" t="s">
        <v>89</v>
      </c>
      <c r="AC45" s="154"/>
      <c r="AD45" s="208">
        <f>+AL45</f>
        <v>0</v>
      </c>
      <c r="AE45" s="157">
        <f>+AL45</f>
        <v>0</v>
      </c>
      <c r="AF45" s="205">
        <f t="shared" si="23"/>
        <v>0</v>
      </c>
      <c r="AG45" s="205">
        <f t="shared" si="24"/>
        <v>0</v>
      </c>
      <c r="AH45" s="157">
        <f>SUM(AH33:AH44)</f>
        <v>0</v>
      </c>
      <c r="AI45" s="141">
        <f>FLOOR(AH45,1)</f>
        <v>0</v>
      </c>
      <c r="AJ45" s="141">
        <f>+AH45-AI45</f>
        <v>0</v>
      </c>
      <c r="AK45" s="141">
        <f>+AJ45/100*60</f>
        <v>0</v>
      </c>
      <c r="AL45" s="164">
        <f>+AK45+AI45</f>
        <v>0</v>
      </c>
    </row>
    <row r="46" spans="1:38" x14ac:dyDescent="0.2">
      <c r="G46" s="20"/>
      <c r="H46" s="20"/>
      <c r="I46" s="21"/>
      <c r="J46" s="21"/>
      <c r="K46" s="273"/>
    </row>
    <row r="47" spans="1:38" ht="15" x14ac:dyDescent="0.25">
      <c r="A47" s="157">
        <f>+A45+A43</f>
        <v>56.860000000000014</v>
      </c>
      <c r="B47" s="141">
        <f>FLOOR(A47,1)</f>
        <v>56</v>
      </c>
      <c r="C47" s="141">
        <f>+A47-B47</f>
        <v>0.86000000000001364</v>
      </c>
      <c r="D47" s="141">
        <f>+C47/100*60</f>
        <v>0.51600000000000823</v>
      </c>
      <c r="E47" s="164">
        <f>+D47+B47</f>
        <v>56.516000000000005</v>
      </c>
      <c r="G47" s="24" t="s">
        <v>34</v>
      </c>
      <c r="H47" s="27">
        <f>+K44</f>
        <v>2.0000000000152339E-3</v>
      </c>
    </row>
    <row r="48" spans="1:38" x14ac:dyDescent="0.2">
      <c r="K48" s="273"/>
    </row>
    <row r="49" spans="7:8" ht="13.5" thickBot="1" x14ac:dyDescent="0.25"/>
    <row r="50" spans="7:8" ht="20.100000000000001" customHeight="1" thickBot="1" x14ac:dyDescent="0.25">
      <c r="G50" s="41" t="s">
        <v>36</v>
      </c>
      <c r="H50" s="42">
        <f>IF(COUNTIF(J33:J44,"&gt;0")&lt;&gt;0,INDEX(L33:L44,COUNTIF(J33:J44,"&gt;0"),1),"")</f>
        <v>0</v>
      </c>
    </row>
  </sheetData>
  <sheetProtection sheet="1" objects="1" scenarios="1"/>
  <mergeCells count="15">
    <mergeCell ref="AA18:AB18"/>
    <mergeCell ref="J29:K29"/>
    <mergeCell ref="J30:K30"/>
    <mergeCell ref="AA19:AB19"/>
    <mergeCell ref="AA7:AD7"/>
    <mergeCell ref="H1:J1"/>
    <mergeCell ref="H2:J2"/>
    <mergeCell ref="H3:J3"/>
    <mergeCell ref="I5:K5"/>
    <mergeCell ref="G17:H17"/>
    <mergeCell ref="G7:H7"/>
    <mergeCell ref="J7:L7"/>
    <mergeCell ref="J14:K14"/>
    <mergeCell ref="J15:K15"/>
    <mergeCell ref="J17:L17"/>
  </mergeCells>
  <phoneticPr fontId="0" type="noConversion"/>
  <conditionalFormatting sqref="I5:K5">
    <cfRule type="expression" dxfId="297" priority="1" stopIfTrue="1">
      <formula>IF(H5="J",0,IF(H5="N",0,1))</formula>
    </cfRule>
  </conditionalFormatting>
  <conditionalFormatting sqref="B18:D28 B47:D47 AF45:AG45 AE33:AG44 AE9:AG16 AI33:AK45 AI16:AK16 AM19:AP19 AE19:AH19 O18:Q28 O8:Q15 B8:D13">
    <cfRule type="cellIs" dxfId="296" priority="2" stopIfTrue="1" operator="lessThan">
      <formula>0</formula>
    </cfRule>
  </conditionalFormatting>
  <pageMargins left="0.78740157480314965" right="0.39370078740157483" top="0.59055118110236227" bottom="0.59055118110236227" header="0.51181102362204722" footer="0.51181102362204722"/>
  <pageSetup paperSize="9" scale="70" orientation="portrait" horizontalDpi="300" verticalDpi="300" r:id="rId1"/>
  <headerFooter alignWithMargins="0"/>
  <cellWatches>
    <cellWatch r="L9"/>
    <cellWatch r="L8"/>
  </cellWatche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9"/>
  <dimension ref="A1:BO46"/>
  <sheetViews>
    <sheetView zoomScale="75" workbookViewId="0">
      <pane xSplit="9" ySplit="8" topLeftCell="J9" activePane="bottomRight" state="frozen"/>
      <selection activeCell="U24" sqref="U24"/>
      <selection pane="topRight" activeCell="U24" sqref="U24"/>
      <selection pane="bottomLeft" activeCell="U24" sqref="U24"/>
      <selection pane="bottomRight" activeCell="A30" sqref="A30"/>
    </sheetView>
  </sheetViews>
  <sheetFormatPr defaultRowHeight="15" x14ac:dyDescent="0.25"/>
  <cols>
    <col min="1" max="1" width="7.140625" bestFit="1" customWidth="1"/>
    <col min="2" max="2" width="9.42578125" hidden="1" customWidth="1"/>
    <col min="3" max="3" width="5.28515625" hidden="1" customWidth="1"/>
    <col min="4" max="6" width="9.85546875" hidden="1" customWidth="1"/>
    <col min="7" max="7" width="10" style="270" bestFit="1" customWidth="1"/>
    <col min="8" max="8" width="5.42578125" bestFit="1" customWidth="1"/>
    <col min="9" max="9" width="12" hidden="1" customWidth="1"/>
    <col min="10" max="10" width="7.7109375" customWidth="1"/>
    <col min="11" max="11" width="7" bestFit="1" customWidth="1"/>
    <col min="12" max="12" width="7.140625" hidden="1" customWidth="1"/>
    <col min="13" max="13" width="7.5703125" hidden="1" customWidth="1"/>
    <col min="14" max="15" width="5.28515625" hidden="1" customWidth="1"/>
    <col min="16" max="16" width="7.5703125" style="266" customWidth="1"/>
    <col min="17" max="17" width="6.28515625" customWidth="1"/>
    <col min="18" max="18" width="3" customWidth="1"/>
    <col min="19" max="19" width="6.28515625" customWidth="1"/>
    <col min="20" max="20" width="8.140625" customWidth="1"/>
    <col min="21" max="21" width="17.7109375" customWidth="1"/>
    <col min="22" max="29" width="5.28515625" hidden="1" customWidth="1"/>
    <col min="30" max="30" width="15.85546875" customWidth="1"/>
    <col min="31" max="38" width="5.28515625" hidden="1" customWidth="1"/>
    <col min="39" max="39" width="22.85546875" bestFit="1" customWidth="1"/>
    <col min="40" max="47" width="5.28515625" hidden="1" customWidth="1"/>
    <col min="48" max="48" width="6.28515625" hidden="1" customWidth="1"/>
    <col min="49" max="49" width="3.28515625" customWidth="1"/>
    <col min="50" max="50" width="6.28515625" customWidth="1"/>
    <col min="51" max="51" width="8.140625" customWidth="1"/>
    <col min="52" max="52" width="8.5703125" hidden="1" customWidth="1"/>
    <col min="53" max="53" width="6" hidden="1" customWidth="1"/>
    <col min="54" max="54" width="7.5703125" hidden="1" customWidth="1"/>
    <col min="55" max="56" width="6" hidden="1" customWidth="1"/>
    <col min="57" max="57" width="7.5703125" hidden="1" customWidth="1"/>
    <col min="58" max="58" width="0" hidden="1" customWidth="1"/>
    <col min="59" max="60" width="10" style="134" hidden="1" customWidth="1"/>
    <col min="61" max="63" width="9.85546875" style="134" hidden="1" customWidth="1"/>
    <col min="64" max="64" width="12.140625" style="134" bestFit="1" customWidth="1"/>
    <col min="65" max="65" width="4.5703125" hidden="1" customWidth="1"/>
    <col min="66" max="66" width="2.28515625" hidden="1" customWidth="1"/>
    <col min="67" max="68" width="0" hidden="1" customWidth="1"/>
  </cols>
  <sheetData>
    <row r="1" spans="1:66" ht="18" x14ac:dyDescent="0.25">
      <c r="H1" s="547" t="s">
        <v>114</v>
      </c>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174"/>
      <c r="BB1" s="174"/>
      <c r="BC1" s="174"/>
      <c r="BD1" s="174"/>
      <c r="BE1" s="174"/>
    </row>
    <row r="2" spans="1:66" ht="8.1" customHeight="1" x14ac:dyDescent="0.25">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66" ht="15.95" customHeight="1" x14ac:dyDescent="0.25">
      <c r="H3" s="620" t="s">
        <v>5</v>
      </c>
      <c r="I3" s="621"/>
      <c r="J3" s="621"/>
      <c r="K3" s="622"/>
      <c r="L3" s="555" t="str">
        <f>+Resume!H1</f>
        <v>Lars Larsen</v>
      </c>
      <c r="M3" s="556"/>
      <c r="N3" s="556"/>
      <c r="O3" s="556"/>
      <c r="P3" s="556"/>
      <c r="Q3" s="557"/>
      <c r="R3" s="557"/>
      <c r="S3" s="557"/>
      <c r="T3" s="49"/>
      <c r="U3" s="626" t="s">
        <v>7</v>
      </c>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155"/>
      <c r="AX3" s="558">
        <f>+I9</f>
        <v>41487</v>
      </c>
      <c r="AY3" s="560"/>
      <c r="AZ3" s="183"/>
      <c r="BA3" s="183"/>
      <c r="BB3" s="183"/>
      <c r="BC3" s="183"/>
      <c r="BD3" s="183"/>
      <c r="BE3" s="183"/>
    </row>
    <row r="4" spans="1:66" ht="15.95" customHeight="1" x14ac:dyDescent="0.25">
      <c r="H4" s="625" t="s">
        <v>6</v>
      </c>
      <c r="I4" s="625"/>
      <c r="J4" s="625"/>
      <c r="K4" s="625"/>
      <c r="L4" s="550" t="str">
        <f>+Resume!H2</f>
        <v>010101-0101</v>
      </c>
      <c r="M4" s="551"/>
      <c r="N4" s="551"/>
      <c r="O4" s="551"/>
      <c r="P4" s="551"/>
      <c r="Q4" s="551"/>
      <c r="R4" s="551"/>
      <c r="S4" s="551"/>
      <c r="T4" s="50"/>
      <c r="U4" s="17" t="s">
        <v>8</v>
      </c>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8"/>
      <c r="AW4" s="159"/>
      <c r="AX4" s="561" t="str">
        <f>IF(Resume!I4&lt;&gt;"",Resume!I4,"")</f>
        <v>1 - bagud</v>
      </c>
      <c r="AY4" s="563"/>
      <c r="AZ4" s="184"/>
      <c r="BA4" s="184"/>
      <c r="BB4" s="184"/>
      <c r="BC4" s="184"/>
      <c r="BD4" s="184"/>
      <c r="BE4" s="184"/>
    </row>
    <row r="5" spans="1:66" ht="15.95" customHeight="1" x14ac:dyDescent="0.25">
      <c r="H5" s="620" t="s">
        <v>9</v>
      </c>
      <c r="I5" s="621"/>
      <c r="J5" s="621"/>
      <c r="K5" s="622"/>
      <c r="L5" s="555" t="str">
        <f>+Resume!H3</f>
        <v>SKAT</v>
      </c>
      <c r="M5" s="556"/>
      <c r="N5" s="556"/>
      <c r="O5" s="556"/>
      <c r="P5" s="556"/>
      <c r="Q5" s="557"/>
      <c r="R5" s="557"/>
      <c r="S5" s="557"/>
      <c r="T5" s="49"/>
      <c r="U5" s="617"/>
      <c r="V5" s="618"/>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9"/>
      <c r="AW5" s="156"/>
      <c r="AX5" s="614"/>
      <c r="AY5" s="616"/>
      <c r="AZ5" s="185"/>
      <c r="BA5" s="185"/>
      <c r="BB5" s="185"/>
      <c r="BC5" s="185"/>
      <c r="BD5" s="185"/>
      <c r="BE5" s="185"/>
    </row>
    <row r="6" spans="1:66" ht="53.25" customHeight="1" thickBot="1" x14ac:dyDescent="0.3">
      <c r="H6" s="3"/>
      <c r="I6" s="3"/>
      <c r="J6" s="3"/>
      <c r="K6" s="3"/>
      <c r="L6" s="3"/>
      <c r="M6" s="3"/>
      <c r="N6" s="3"/>
      <c r="O6" s="3"/>
      <c r="P6" s="3"/>
      <c r="Q6" s="426"/>
      <c r="R6" s="426"/>
      <c r="S6" s="426"/>
      <c r="T6" s="426"/>
      <c r="U6" s="628" t="s">
        <v>75</v>
      </c>
      <c r="V6" s="628"/>
      <c r="W6" s="628"/>
      <c r="X6" s="628"/>
      <c r="Y6" s="628"/>
      <c r="Z6" s="628"/>
      <c r="AA6" s="628"/>
      <c r="AB6" s="628"/>
      <c r="AC6" s="628"/>
      <c r="AD6" s="628"/>
      <c r="AE6" s="427"/>
      <c r="AF6" s="427"/>
      <c r="AG6" s="427"/>
      <c r="AH6" s="427"/>
      <c r="AI6" s="427"/>
      <c r="AJ6" s="427"/>
      <c r="AK6" s="427"/>
      <c r="AL6" s="427"/>
      <c r="AM6" s="428" t="s">
        <v>77</v>
      </c>
      <c r="AN6" s="429"/>
      <c r="AO6" s="429"/>
      <c r="AP6" s="429"/>
      <c r="AQ6" s="429"/>
      <c r="AR6" s="429"/>
      <c r="AS6" s="429"/>
      <c r="AT6" s="429"/>
      <c r="AU6" s="429"/>
      <c r="AV6" s="426"/>
      <c r="AW6" s="426"/>
      <c r="AX6" s="426"/>
      <c r="AY6" s="426"/>
      <c r="AZ6" s="101"/>
      <c r="BA6" s="101"/>
      <c r="BB6" s="101"/>
      <c r="BC6" s="101"/>
      <c r="BD6" s="101"/>
      <c r="BE6" s="101"/>
    </row>
    <row r="7" spans="1:66" s="118" customFormat="1" ht="45.75" customHeight="1" thickBot="1" x14ac:dyDescent="0.3">
      <c r="A7" s="112" t="s">
        <v>58</v>
      </c>
      <c r="B7" s="119" t="s">
        <v>18</v>
      </c>
      <c r="C7" s="176"/>
      <c r="D7" s="176"/>
      <c r="E7" s="176"/>
      <c r="F7" s="176"/>
      <c r="G7" s="262" t="s">
        <v>18</v>
      </c>
      <c r="H7" s="114" t="s">
        <v>2</v>
      </c>
      <c r="I7" s="115"/>
      <c r="J7" s="116" t="s">
        <v>3</v>
      </c>
      <c r="K7" s="116" t="s">
        <v>4</v>
      </c>
      <c r="L7" s="117" t="s">
        <v>0</v>
      </c>
      <c r="M7" s="139"/>
      <c r="N7" s="139"/>
      <c r="O7" s="139"/>
      <c r="P7" s="216" t="s">
        <v>69</v>
      </c>
      <c r="Q7" s="586" t="s">
        <v>115</v>
      </c>
      <c r="R7" s="587"/>
      <c r="S7" s="587"/>
      <c r="T7" s="588"/>
      <c r="U7" s="452" t="s">
        <v>116</v>
      </c>
      <c r="V7" s="423"/>
      <c r="W7" s="423"/>
      <c r="X7" s="423"/>
      <c r="Y7" s="423"/>
      <c r="Z7" s="423"/>
      <c r="AA7" s="423"/>
      <c r="AB7" s="423"/>
      <c r="AC7" s="423"/>
      <c r="AD7" s="423" t="s">
        <v>68</v>
      </c>
      <c r="AE7" s="423"/>
      <c r="AF7" s="423"/>
      <c r="AG7" s="423"/>
      <c r="AH7" s="423"/>
      <c r="AI7" s="423"/>
      <c r="AJ7" s="423"/>
      <c r="AK7" s="423"/>
      <c r="AL7" s="423"/>
      <c r="AM7" s="424" t="s">
        <v>91</v>
      </c>
      <c r="AN7" s="425"/>
      <c r="AO7" s="425"/>
      <c r="AP7" s="425"/>
      <c r="AQ7" s="425"/>
      <c r="AR7" s="425"/>
      <c r="AS7" s="425"/>
      <c r="AT7" s="425"/>
      <c r="AU7" s="425"/>
      <c r="AZ7" s="186"/>
      <c r="BA7" s="186"/>
      <c r="BB7" s="186"/>
      <c r="BC7" s="186"/>
      <c r="BD7" s="186"/>
      <c r="BE7" s="186"/>
      <c r="BG7" s="135" t="s">
        <v>61</v>
      </c>
      <c r="BH7" s="142"/>
      <c r="BI7" s="142"/>
      <c r="BJ7" s="142"/>
      <c r="BK7" s="142"/>
      <c r="BL7" s="163" t="s">
        <v>70</v>
      </c>
    </row>
    <row r="8" spans="1:66" ht="0.95" customHeight="1" x14ac:dyDescent="0.25">
      <c r="A8" s="81"/>
      <c r="B8" s="78"/>
      <c r="C8" s="177"/>
      <c r="D8" s="177"/>
      <c r="E8" s="177"/>
      <c r="F8" s="177"/>
      <c r="G8" s="271"/>
      <c r="H8" s="75"/>
      <c r="I8" s="70"/>
      <c r="J8" s="71"/>
      <c r="K8" s="71"/>
      <c r="L8" s="72"/>
      <c r="M8" s="140"/>
      <c r="N8" s="140"/>
      <c r="O8" s="140"/>
      <c r="P8" s="140"/>
      <c r="Q8" s="73"/>
      <c r="R8" s="73"/>
      <c r="S8" s="74"/>
      <c r="T8" s="74"/>
      <c r="U8" s="74"/>
      <c r="V8" s="74"/>
      <c r="W8" s="74"/>
      <c r="X8" s="74"/>
      <c r="Y8" s="74"/>
      <c r="Z8" s="74"/>
      <c r="AA8" s="74"/>
      <c r="AB8" s="74"/>
      <c r="AC8" s="74"/>
      <c r="AD8" s="74"/>
      <c r="AE8" s="74"/>
      <c r="AF8" s="74"/>
      <c r="AG8" s="74"/>
      <c r="AH8" s="74"/>
      <c r="AI8" s="74"/>
      <c r="AJ8" s="74"/>
      <c r="AK8" s="74"/>
      <c r="AL8" s="74"/>
      <c r="AM8" s="161"/>
      <c r="AN8" s="161"/>
      <c r="AO8" s="161"/>
      <c r="AP8" s="161"/>
      <c r="AQ8" s="161"/>
      <c r="AR8" s="161"/>
      <c r="AS8" s="161"/>
      <c r="AT8" s="161"/>
      <c r="AU8" s="161"/>
      <c r="AZ8" s="187"/>
      <c r="BA8" s="187"/>
      <c r="BB8" s="187"/>
      <c r="BC8" s="187"/>
      <c r="BD8" s="187"/>
      <c r="BE8" s="187"/>
      <c r="BG8" s="136"/>
      <c r="BH8" s="143"/>
      <c r="BI8" s="143"/>
      <c r="BJ8" s="143"/>
      <c r="BK8" s="143"/>
      <c r="BL8" s="166"/>
    </row>
    <row r="9" spans="1:66" ht="15.95" customHeight="1" x14ac:dyDescent="0.25">
      <c r="A9" s="83"/>
      <c r="B9" s="79">
        <f>IF($I9&lt;&gt;"",IF(WEEKDAY($I9,2)&lt;6,IF(VLOOKUP(WEEKDAY($I9,2),InputUge,3)&gt;0,IF($A9="",VLOOKUP(WEEKDAY($I9,2),InputUge,3)+MAX(B$8:B8),IF($A9&lt;VLOOKUP(WEEKDAY($I9,2),InputUge,3),$A9+MAX(B$8:B8),VLOOKUP(WEEKDAY($I9,2),InputUge,3)+MAX(B$8:B8))),""),""),"")</f>
        <v>9.41</v>
      </c>
      <c r="C9" s="144">
        <f>IF(B9&lt;0,-1,1)</f>
        <v>1</v>
      </c>
      <c r="D9" s="146">
        <f>FLOOR(B9,C9)</f>
        <v>9</v>
      </c>
      <c r="E9" s="146">
        <f>+B9-D9</f>
        <v>0.41000000000000014</v>
      </c>
      <c r="F9" s="146">
        <f>+E9/100*60</f>
        <v>0.24600000000000008</v>
      </c>
      <c r="G9" s="261">
        <f>+F9+D9</f>
        <v>9.2460000000000004</v>
      </c>
      <c r="H9" s="4">
        <v>1</v>
      </c>
      <c r="I9" s="16">
        <f>+Jul!I39+1</f>
        <v>41487</v>
      </c>
      <c r="J9" s="6">
        <v>0.34791666666666665</v>
      </c>
      <c r="K9" s="6">
        <v>0.73987268518518512</v>
      </c>
      <c r="L9" s="5">
        <f>IF(K9&gt;0,ROUND(((K9-J9)*24)-SUM(BR9:BS9)+BT9,2)+IF(Fredagsfrokost="n",IF(WEEKDAY($I9,2)=5,IF(K9&gt;=0.5,IF(K9&lt;=13/24,0,0),0),0),0),IF(AW9&gt;0,AW9,""))</f>
        <v>9.41</v>
      </c>
      <c r="M9" s="141">
        <f t="shared" ref="M9:M40" si="0">FLOOR(L9,1)</f>
        <v>9</v>
      </c>
      <c r="N9" s="141">
        <f t="shared" ref="N9:N40" si="1">+L9-M9</f>
        <v>0.41000000000000014</v>
      </c>
      <c r="O9" s="141">
        <f t="shared" ref="O9:O40" si="2">+N9/100*60</f>
        <v>0.24600000000000008</v>
      </c>
      <c r="P9" s="162">
        <f t="shared" ref="P9:P39" si="3">IF(J9="","",O9+M9)</f>
        <v>9.2460000000000004</v>
      </c>
      <c r="Q9" s="591"/>
      <c r="R9" s="592"/>
      <c r="S9" s="592"/>
      <c r="T9" s="593"/>
      <c r="U9" s="417"/>
      <c r="V9" s="240">
        <f t="shared" ref="V9:V39" si="4">FLOOR(U9,1)</f>
        <v>0</v>
      </c>
      <c r="W9" s="240">
        <f t="shared" ref="W9:W20" si="5">+U9-V9</f>
        <v>0</v>
      </c>
      <c r="X9" s="240">
        <f t="shared" ref="X9:X39" si="6">+W9/60*100</f>
        <v>0</v>
      </c>
      <c r="Y9" s="242">
        <f>+X9+V9</f>
        <v>0</v>
      </c>
      <c r="Z9" s="417"/>
      <c r="AA9" s="417"/>
      <c r="AB9" s="417"/>
      <c r="AC9" s="417"/>
      <c r="AD9" s="417"/>
      <c r="AE9" s="240">
        <f t="shared" ref="AE9:AE30" si="7">FLOOR(AD18,1)</f>
        <v>0</v>
      </c>
      <c r="AF9" s="240">
        <f t="shared" ref="AF9:AF30" si="8">+AD18-AE9</f>
        <v>0</v>
      </c>
      <c r="AG9" s="240">
        <f t="shared" ref="AG9:AG39" si="9">+AF9/60*100</f>
        <v>0</v>
      </c>
      <c r="AH9" s="242">
        <f>+AG9+AE9</f>
        <v>0</v>
      </c>
      <c r="AI9" s="417"/>
      <c r="AJ9" s="417"/>
      <c r="AK9" s="417"/>
      <c r="AL9" s="417"/>
      <c r="AM9" s="472"/>
      <c r="AN9" s="240">
        <f t="shared" ref="AN9:AN38" si="10">FLOOR(AM9,1)</f>
        <v>0</v>
      </c>
      <c r="AO9" s="240">
        <f t="shared" ref="AO9:AO39" si="11">+AM9-AN9</f>
        <v>0</v>
      </c>
      <c r="AP9" s="240">
        <f t="shared" ref="AP9:AP39" si="12">+AO9/60*100</f>
        <v>0</v>
      </c>
      <c r="AQ9" s="242">
        <f>+AP9+AN9</f>
        <v>0</v>
      </c>
      <c r="AR9" s="245"/>
      <c r="AS9" s="245"/>
      <c r="AT9" s="245"/>
      <c r="AU9" s="419"/>
      <c r="AZ9" s="189"/>
      <c r="BA9" s="189"/>
      <c r="BB9" s="189"/>
      <c r="BC9" s="189"/>
      <c r="BD9" s="189"/>
      <c r="BE9" s="189"/>
      <c r="BG9" s="145">
        <f>IF($K9&gt;=0,+SUM(L$9:$L9)-$B9+Aug!$AZ$41+SUM(AQ$9:$AQ9)," ")</f>
        <v>-3.3333333333303017E-3</v>
      </c>
      <c r="BH9" s="144">
        <f>IF(BG9&lt;0,-1,1)</f>
        <v>-1</v>
      </c>
      <c r="BI9" s="146">
        <f>FLOOR(BG9,BH9)</f>
        <v>0</v>
      </c>
      <c r="BJ9" s="146">
        <f>+BG9-BI9</f>
        <v>-3.3333333333303017E-3</v>
      </c>
      <c r="BK9" s="146">
        <f>+BJ9/100*60</f>
        <v>-1.9999999999981812E-3</v>
      </c>
      <c r="BL9" s="164">
        <f>IF(BN9=2,+BK9+BI9,"")</f>
        <v>-1.9999999999981812E-3</v>
      </c>
      <c r="BM9" s="157">
        <f>+P9</f>
        <v>9.2460000000000004</v>
      </c>
      <c r="BN9">
        <f t="shared" ref="BN9:BN39" si="13">+IF(BM9="",1,2)</f>
        <v>2</v>
      </c>
    </row>
    <row r="10" spans="1:66" ht="15.95" customHeight="1" x14ac:dyDescent="0.25">
      <c r="A10" s="83"/>
      <c r="B10" s="79">
        <f>IF($I10&lt;&gt;"",IF(WEEKDAY($I10,2)&lt;6,IF(VLOOKUP(WEEKDAY($I10,2),InputUge,3)&gt;0,IF($A10="",VLOOKUP(WEEKDAY($I10,2),InputUge,3)+MAX(B$8:B9),IF($A10&lt;VLOOKUP(WEEKDAY($I10,2),InputUge,3),$A10+MAX(B$8:B9),VLOOKUP(WEEKDAY($I10,2),InputUge,3)+MAX(B$8:B9))),""),""),"")</f>
        <v>15.81</v>
      </c>
      <c r="C10" s="144">
        <f t="shared" ref="C10:C39" si="14">IF(B10&lt;0,-1,1)</f>
        <v>1</v>
      </c>
      <c r="D10" s="146">
        <f t="shared" ref="D10:D39" si="15">FLOOR(B10,C10)</f>
        <v>15</v>
      </c>
      <c r="E10" s="146">
        <f t="shared" ref="E10:E39" si="16">+B10-D10</f>
        <v>0.8100000000000005</v>
      </c>
      <c r="F10" s="146">
        <f t="shared" ref="F10:F39" si="17">+E10/100*60</f>
        <v>0.48600000000000027</v>
      </c>
      <c r="G10" s="261">
        <f t="shared" ref="G10:G39" si="18">+F10+D10</f>
        <v>15.486000000000001</v>
      </c>
      <c r="H10" s="4">
        <v>2</v>
      </c>
      <c r="I10" s="16">
        <f t="shared" ref="I10:I39" si="19">+I9+1</f>
        <v>41488</v>
      </c>
      <c r="J10" s="6">
        <v>0.34791666666666665</v>
      </c>
      <c r="K10" s="6">
        <v>0.61458333333333337</v>
      </c>
      <c r="L10" s="5">
        <f>IF(K10&gt;0,ROUND(((K10-J10)*24)-SUM(BR10:BS10)+BT10,2)+IF(Fredagsfrokost="n",IF(WEEKDAY($I10,2)=5,IF(K10&gt;=0.5,IF(K10&lt;=13/24,0,0),0),0),0),IF(AW10&gt;0,AW10,""))</f>
        <v>6.4</v>
      </c>
      <c r="M10" s="141">
        <f t="shared" si="0"/>
        <v>6</v>
      </c>
      <c r="N10" s="141">
        <f t="shared" si="1"/>
        <v>0.40000000000000036</v>
      </c>
      <c r="O10" s="141">
        <f t="shared" si="2"/>
        <v>0.24000000000000021</v>
      </c>
      <c r="P10" s="162">
        <f t="shared" si="3"/>
        <v>6.24</v>
      </c>
      <c r="Q10" s="591"/>
      <c r="R10" s="592"/>
      <c r="S10" s="592"/>
      <c r="T10" s="593"/>
      <c r="U10" s="417"/>
      <c r="V10" s="240">
        <f t="shared" si="4"/>
        <v>0</v>
      </c>
      <c r="W10" s="240">
        <f t="shared" si="5"/>
        <v>0</v>
      </c>
      <c r="X10" s="240">
        <f t="shared" si="6"/>
        <v>0</v>
      </c>
      <c r="Y10" s="242">
        <f t="shared" ref="Y10:Y39" si="20">+X10+V10</f>
        <v>0</v>
      </c>
      <c r="Z10" s="417"/>
      <c r="AA10" s="417"/>
      <c r="AB10" s="417"/>
      <c r="AC10" s="417"/>
      <c r="AD10" s="417"/>
      <c r="AE10" s="240">
        <f t="shared" si="7"/>
        <v>0</v>
      </c>
      <c r="AF10" s="240">
        <f t="shared" si="8"/>
        <v>0</v>
      </c>
      <c r="AG10" s="240">
        <f t="shared" si="9"/>
        <v>0</v>
      </c>
      <c r="AH10" s="242">
        <f t="shared" ref="AH10:AH30" si="21">+AG10+AE10</f>
        <v>0</v>
      </c>
      <c r="AI10" s="417"/>
      <c r="AJ10" s="417"/>
      <c r="AK10" s="417"/>
      <c r="AL10" s="417"/>
      <c r="AM10" s="472"/>
      <c r="AN10" s="240">
        <f t="shared" si="10"/>
        <v>0</v>
      </c>
      <c r="AO10" s="240">
        <f t="shared" si="11"/>
        <v>0</v>
      </c>
      <c r="AP10" s="240">
        <f t="shared" si="12"/>
        <v>0</v>
      </c>
      <c r="AQ10" s="242">
        <f t="shared" ref="AQ10:AQ39" si="22">+AP10+AN10</f>
        <v>0</v>
      </c>
      <c r="AR10" s="245"/>
      <c r="AS10" s="245"/>
      <c r="AT10" s="245"/>
      <c r="AU10" s="419"/>
      <c r="AZ10" s="189"/>
      <c r="BA10" s="189"/>
      <c r="BB10" s="189"/>
      <c r="BC10" s="189"/>
      <c r="BD10" s="189"/>
      <c r="BE10" s="189"/>
      <c r="BG10" s="145">
        <f>IF($K10&gt;=0,+SUM(L$9:$L10)-$B10+Aug!$AZ$41+SUM(AQ$9:$AQ10)," ")</f>
        <v>-3.3333333333303017E-3</v>
      </c>
      <c r="BH10" s="144">
        <f t="shared" ref="BH10:BH39" si="23">IF(BG10&lt;0,-1,1)</f>
        <v>-1</v>
      </c>
      <c r="BI10" s="146">
        <f t="shared" ref="BI10:BI39" si="24">FLOOR(BG10,BH10)</f>
        <v>0</v>
      </c>
      <c r="BJ10" s="146">
        <f t="shared" ref="BJ10:BJ39" si="25">+BG10-BI10</f>
        <v>-3.3333333333303017E-3</v>
      </c>
      <c r="BK10" s="146">
        <f t="shared" ref="BK10:BK39" si="26">+BJ10/100*60</f>
        <v>-1.9999999999981812E-3</v>
      </c>
      <c r="BL10" s="164">
        <f t="shared" ref="BL10:BL39" si="27">IF(BN10=2,+BK10+BI10,"")</f>
        <v>-1.9999999999981812E-3</v>
      </c>
      <c r="BM10" s="157">
        <f t="shared" ref="BM10:BM39" si="28">+P10</f>
        <v>6.24</v>
      </c>
      <c r="BN10">
        <f t="shared" si="13"/>
        <v>2</v>
      </c>
    </row>
    <row r="11" spans="1:66" ht="15.95" customHeight="1" x14ac:dyDescent="0.25">
      <c r="A11" s="83"/>
      <c r="B11" s="79" t="str">
        <f>IF($I11&lt;&gt;"",IF(WEEKDAY($I11,2)&lt;6,IF(VLOOKUP(WEEKDAY($I11,2),InputUge,3)&gt;0,IF($A11="",VLOOKUP(WEEKDAY($I11,2),InputUge,3)+MAX(B$8:B10),IF($A11&lt;VLOOKUP(WEEKDAY($I11,2),InputUge,3),$A11+MAX(B$8:B10),VLOOKUP(WEEKDAY($I11,2),InputUge,3)+MAX(B$8:B10))),""),""),"")</f>
        <v/>
      </c>
      <c r="C11" s="144">
        <f t="shared" si="14"/>
        <v>1</v>
      </c>
      <c r="D11" s="146" t="e">
        <f t="shared" si="15"/>
        <v>#VALUE!</v>
      </c>
      <c r="E11" s="146" t="e">
        <f t="shared" si="16"/>
        <v>#VALUE!</v>
      </c>
      <c r="F11" s="146" t="e">
        <f t="shared" si="17"/>
        <v>#VALUE!</v>
      </c>
      <c r="G11" s="261"/>
      <c r="H11" s="4">
        <v>3</v>
      </c>
      <c r="I11" s="16">
        <f t="shared" si="19"/>
        <v>41489</v>
      </c>
      <c r="J11" s="6"/>
      <c r="K11" s="6"/>
      <c r="L11" s="5"/>
      <c r="M11" s="141"/>
      <c r="N11" s="141"/>
      <c r="O11" s="141"/>
      <c r="P11" s="162"/>
      <c r="Q11" s="591"/>
      <c r="R11" s="592"/>
      <c r="S11" s="592"/>
      <c r="T11" s="593"/>
      <c r="U11" s="417"/>
      <c r="V11" s="240">
        <f t="shared" si="4"/>
        <v>0</v>
      </c>
      <c r="W11" s="240">
        <f t="shared" si="5"/>
        <v>0</v>
      </c>
      <c r="X11" s="240">
        <f t="shared" si="6"/>
        <v>0</v>
      </c>
      <c r="Y11" s="242">
        <f t="shared" si="20"/>
        <v>0</v>
      </c>
      <c r="Z11" s="417"/>
      <c r="AA11" s="417"/>
      <c r="AB11" s="417"/>
      <c r="AC11" s="417"/>
      <c r="AD11" s="417"/>
      <c r="AE11" s="240">
        <f t="shared" si="7"/>
        <v>0</v>
      </c>
      <c r="AF11" s="240">
        <f t="shared" si="8"/>
        <v>0</v>
      </c>
      <c r="AG11" s="240">
        <f t="shared" si="9"/>
        <v>0</v>
      </c>
      <c r="AH11" s="242">
        <f t="shared" si="21"/>
        <v>0</v>
      </c>
      <c r="AI11" s="417"/>
      <c r="AJ11" s="417"/>
      <c r="AK11" s="417"/>
      <c r="AL11" s="417"/>
      <c r="AM11" s="472"/>
      <c r="AN11" s="240">
        <f t="shared" si="10"/>
        <v>0</v>
      </c>
      <c r="AO11" s="240">
        <f t="shared" si="11"/>
        <v>0</v>
      </c>
      <c r="AP11" s="240">
        <f t="shared" si="12"/>
        <v>0</v>
      </c>
      <c r="AQ11" s="242">
        <f t="shared" si="22"/>
        <v>0</v>
      </c>
      <c r="AR11" s="245"/>
      <c r="AS11" s="245"/>
      <c r="AT11" s="245"/>
      <c r="AU11" s="420"/>
      <c r="AZ11" s="189"/>
      <c r="BA11" s="189"/>
      <c r="BB11" s="189"/>
      <c r="BC11" s="189"/>
      <c r="BD11" s="189"/>
      <c r="BE11" s="189"/>
      <c r="BG11" s="145" t="e">
        <f>IF($K11&gt;=0,+SUM(L$9:$L11)-$B11+Aug!$AZ$41+SUM(AQ$9:$AQ11)," ")</f>
        <v>#VALUE!</v>
      </c>
      <c r="BH11" s="144" t="e">
        <f t="shared" si="23"/>
        <v>#VALUE!</v>
      </c>
      <c r="BI11" s="146" t="e">
        <f t="shared" si="24"/>
        <v>#VALUE!</v>
      </c>
      <c r="BJ11" s="146" t="e">
        <f t="shared" si="25"/>
        <v>#VALUE!</v>
      </c>
      <c r="BK11" s="146" t="e">
        <f t="shared" si="26"/>
        <v>#VALUE!</v>
      </c>
      <c r="BL11" s="164"/>
      <c r="BM11" s="157">
        <f t="shared" si="28"/>
        <v>0</v>
      </c>
      <c r="BN11">
        <f t="shared" si="13"/>
        <v>2</v>
      </c>
    </row>
    <row r="12" spans="1:66" ht="15.95" customHeight="1" x14ac:dyDescent="0.25">
      <c r="A12" s="83"/>
      <c r="B12" s="79" t="str">
        <f>IF($I12&lt;&gt;"",IF(WEEKDAY($I12,2)&lt;6,IF(VLOOKUP(WEEKDAY($I12,2),InputUge,3)&gt;0,IF($A12="",VLOOKUP(WEEKDAY($I12,2),InputUge,3)+MAX(B$8:B11),IF($A12&lt;VLOOKUP(WEEKDAY($I12,2),InputUge,3),$A12+MAX(B$8:B11),VLOOKUP(WEEKDAY($I12,2),InputUge,3)+MAX(B$8:B11))),""),""),"")</f>
        <v/>
      </c>
      <c r="C12" s="144">
        <f t="shared" si="14"/>
        <v>1</v>
      </c>
      <c r="D12" s="146" t="e">
        <f t="shared" si="15"/>
        <v>#VALUE!</v>
      </c>
      <c r="E12" s="146" t="e">
        <f t="shared" si="16"/>
        <v>#VALUE!</v>
      </c>
      <c r="F12" s="146" t="e">
        <f t="shared" si="17"/>
        <v>#VALUE!</v>
      </c>
      <c r="G12" s="261"/>
      <c r="H12" s="4">
        <v>4</v>
      </c>
      <c r="I12" s="16">
        <f t="shared" si="19"/>
        <v>41490</v>
      </c>
      <c r="J12" s="6"/>
      <c r="K12" s="6"/>
      <c r="L12" s="5"/>
      <c r="M12" s="141">
        <f t="shared" si="0"/>
        <v>0</v>
      </c>
      <c r="N12" s="141">
        <f t="shared" si="1"/>
        <v>0</v>
      </c>
      <c r="O12" s="141">
        <f t="shared" si="2"/>
        <v>0</v>
      </c>
      <c r="P12" s="141" t="str">
        <f t="shared" si="3"/>
        <v/>
      </c>
      <c r="Q12" s="591"/>
      <c r="R12" s="592"/>
      <c r="S12" s="592"/>
      <c r="T12" s="593"/>
      <c r="U12" s="417"/>
      <c r="V12" s="240">
        <f t="shared" si="4"/>
        <v>0</v>
      </c>
      <c r="W12" s="240">
        <f t="shared" si="5"/>
        <v>0</v>
      </c>
      <c r="X12" s="240">
        <f t="shared" si="6"/>
        <v>0</v>
      </c>
      <c r="Y12" s="242">
        <f t="shared" si="20"/>
        <v>0</v>
      </c>
      <c r="Z12" s="417"/>
      <c r="AA12" s="417"/>
      <c r="AB12" s="417"/>
      <c r="AC12" s="417"/>
      <c r="AD12" s="417"/>
      <c r="AE12" s="240">
        <f t="shared" si="7"/>
        <v>0</v>
      </c>
      <c r="AF12" s="240">
        <f t="shared" si="8"/>
        <v>0</v>
      </c>
      <c r="AG12" s="240">
        <f t="shared" si="9"/>
        <v>0</v>
      </c>
      <c r="AH12" s="242">
        <f t="shared" si="21"/>
        <v>0</v>
      </c>
      <c r="AI12" s="417"/>
      <c r="AJ12" s="417"/>
      <c r="AK12" s="417"/>
      <c r="AL12" s="417"/>
      <c r="AM12" s="472"/>
      <c r="AN12" s="240">
        <f t="shared" si="10"/>
        <v>0</v>
      </c>
      <c r="AO12" s="240">
        <f t="shared" si="11"/>
        <v>0</v>
      </c>
      <c r="AP12" s="240">
        <f t="shared" si="12"/>
        <v>0</v>
      </c>
      <c r="AQ12" s="242">
        <f t="shared" si="22"/>
        <v>0</v>
      </c>
      <c r="AR12" s="245"/>
      <c r="AS12" s="245"/>
      <c r="AT12" s="245"/>
      <c r="AU12" s="420"/>
      <c r="AZ12" s="189"/>
      <c r="BA12" s="189"/>
      <c r="BB12" s="189"/>
      <c r="BC12" s="189"/>
      <c r="BD12" s="189"/>
      <c r="BE12" s="189"/>
      <c r="BG12" s="145" t="e">
        <f>IF($K12&gt;=0,+SUM(L$9:$L12)-$B12+Aug!$AZ$41+SUM(AQ$9:$AQ12)," ")</f>
        <v>#VALUE!</v>
      </c>
      <c r="BH12" s="144" t="e">
        <f t="shared" si="23"/>
        <v>#VALUE!</v>
      </c>
      <c r="BI12" s="146" t="e">
        <f t="shared" si="24"/>
        <v>#VALUE!</v>
      </c>
      <c r="BJ12" s="146" t="e">
        <f t="shared" si="25"/>
        <v>#VALUE!</v>
      </c>
      <c r="BK12" s="146" t="e">
        <f t="shared" si="26"/>
        <v>#VALUE!</v>
      </c>
      <c r="BL12" s="164" t="str">
        <f t="shared" si="27"/>
        <v/>
      </c>
      <c r="BM12" s="157" t="str">
        <f t="shared" si="28"/>
        <v/>
      </c>
      <c r="BN12">
        <f t="shared" si="13"/>
        <v>1</v>
      </c>
    </row>
    <row r="13" spans="1:66" ht="15.95" customHeight="1" x14ac:dyDescent="0.25">
      <c r="A13" s="83"/>
      <c r="B13" s="79">
        <f>IF($I13&lt;&gt;"",IF(WEEKDAY($I13,2)&lt;6,IF(VLOOKUP(WEEKDAY($I13,2),InputUge,3)&gt;0,IF($A13="",VLOOKUP(WEEKDAY($I13,2),InputUge,3)+MAX(B$8:B12),IF($A13&lt;VLOOKUP(WEEKDAY($I13,2),InputUge,3),$A13+MAX(B$8:B12),VLOOKUP(WEEKDAY($I13,2),InputUge,3)+MAX(B$8:B12))),""),""),"")</f>
        <v>22.873333333333335</v>
      </c>
      <c r="C13" s="144">
        <f t="shared" si="14"/>
        <v>1</v>
      </c>
      <c r="D13" s="146">
        <f t="shared" si="15"/>
        <v>22</v>
      </c>
      <c r="E13" s="146">
        <f t="shared" si="16"/>
        <v>0.87333333333333485</v>
      </c>
      <c r="F13" s="146">
        <f t="shared" si="17"/>
        <v>0.52400000000000091</v>
      </c>
      <c r="G13" s="261">
        <f t="shared" si="18"/>
        <v>22.524000000000001</v>
      </c>
      <c r="H13" s="4">
        <v>5</v>
      </c>
      <c r="I13" s="16">
        <f t="shared" si="19"/>
        <v>41491</v>
      </c>
      <c r="J13" s="6">
        <v>0.34826388888888887</v>
      </c>
      <c r="K13" s="6">
        <v>0.64236111111111105</v>
      </c>
      <c r="L13" s="5">
        <f>IF(K13&gt;0,ROUND(((K13-J13)*24)-SUM(BR13:BS13)+BT13,2)+IF(Fredagsfrokost="n",IF(WEEKDAY($I13,2)=5,IF(K13&gt;=0.5,IF(K13&lt;=13/24,0,0),0),0),0),IF(AW13&gt;0,AW13,""))</f>
        <v>7.06</v>
      </c>
      <c r="M13" s="141">
        <f>FLOOR(L13,1)</f>
        <v>7</v>
      </c>
      <c r="N13" s="141">
        <f>+L13-M13</f>
        <v>5.9999999999999609E-2</v>
      </c>
      <c r="O13" s="141">
        <f>+N13/100*60</f>
        <v>3.5999999999999761E-2</v>
      </c>
      <c r="P13" s="162">
        <f>IF(J13="","",O13+M13)</f>
        <v>7.0359999999999996</v>
      </c>
      <c r="Q13" s="591"/>
      <c r="R13" s="592"/>
      <c r="S13" s="592"/>
      <c r="T13" s="593"/>
      <c r="U13" s="417"/>
      <c r="V13" s="240">
        <f t="shared" si="4"/>
        <v>0</v>
      </c>
      <c r="W13" s="240">
        <f t="shared" si="5"/>
        <v>0</v>
      </c>
      <c r="X13" s="240">
        <f t="shared" si="6"/>
        <v>0</v>
      </c>
      <c r="Y13" s="242">
        <f t="shared" si="20"/>
        <v>0</v>
      </c>
      <c r="Z13" s="417"/>
      <c r="AA13" s="417"/>
      <c r="AB13" s="417"/>
      <c r="AC13" s="417"/>
      <c r="AD13" s="417"/>
      <c r="AE13" s="240">
        <f t="shared" si="7"/>
        <v>0</v>
      </c>
      <c r="AF13" s="240">
        <f t="shared" si="8"/>
        <v>0</v>
      </c>
      <c r="AG13" s="240">
        <f t="shared" si="9"/>
        <v>0</v>
      </c>
      <c r="AH13" s="242">
        <f t="shared" si="21"/>
        <v>0</v>
      </c>
      <c r="AI13" s="417"/>
      <c r="AJ13" s="417"/>
      <c r="AK13" s="417"/>
      <c r="AL13" s="417"/>
      <c r="AM13" s="472"/>
      <c r="AN13" s="240">
        <f t="shared" si="10"/>
        <v>0</v>
      </c>
      <c r="AO13" s="240">
        <f t="shared" si="11"/>
        <v>0</v>
      </c>
      <c r="AP13" s="240">
        <f t="shared" si="12"/>
        <v>0</v>
      </c>
      <c r="AQ13" s="242">
        <f t="shared" si="22"/>
        <v>0</v>
      </c>
      <c r="AR13" s="245"/>
      <c r="AS13" s="245"/>
      <c r="AT13" s="245"/>
      <c r="AU13" s="240"/>
      <c r="AZ13" s="189"/>
      <c r="BA13" s="189"/>
      <c r="BB13" s="189"/>
      <c r="BC13" s="189"/>
      <c r="BD13" s="189"/>
      <c r="BE13" s="189"/>
      <c r="BG13" s="145">
        <f>IF($K13&gt;=0,+SUM(L$9:$L13)-$B13+Aug!$AZ$41+SUM(AQ$9:$AQ13)," ")</f>
        <v>-6.6666666666641561E-3</v>
      </c>
      <c r="BH13" s="144">
        <f t="shared" si="23"/>
        <v>-1</v>
      </c>
      <c r="BI13" s="146">
        <f t="shared" si="24"/>
        <v>0</v>
      </c>
      <c r="BJ13" s="146">
        <f t="shared" si="25"/>
        <v>-6.6666666666641561E-3</v>
      </c>
      <c r="BK13" s="146">
        <f t="shared" si="26"/>
        <v>-3.9999999999984935E-3</v>
      </c>
      <c r="BL13" s="164">
        <f t="shared" si="27"/>
        <v>-3.9999999999984935E-3</v>
      </c>
      <c r="BM13" s="157">
        <f t="shared" si="28"/>
        <v>7.0359999999999996</v>
      </c>
      <c r="BN13">
        <f t="shared" si="13"/>
        <v>2</v>
      </c>
    </row>
    <row r="14" spans="1:66" ht="15.95" customHeight="1" x14ac:dyDescent="0.25">
      <c r="A14" s="83"/>
      <c r="B14" s="79">
        <f>IF($I14&lt;&gt;"",IF(WEEKDAY($I14,2)&lt;6,IF(VLOOKUP(WEEKDAY($I14,2),InputUge,3)&gt;0,IF($A14="",VLOOKUP(WEEKDAY($I14,2),InputUge,3)+MAX(B$8:B13),IF($A14&lt;VLOOKUP(WEEKDAY($I14,2),InputUge,3),$A14+MAX(B$8:B13),VLOOKUP(WEEKDAY($I14,2),InputUge,3)+MAX(B$8:B13))),""),""),"")</f>
        <v>29.94</v>
      </c>
      <c r="C14" s="144">
        <f t="shared" si="14"/>
        <v>1</v>
      </c>
      <c r="D14" s="146">
        <f t="shared" si="15"/>
        <v>29</v>
      </c>
      <c r="E14" s="146">
        <f t="shared" si="16"/>
        <v>0.94000000000000128</v>
      </c>
      <c r="F14" s="146">
        <f t="shared" si="17"/>
        <v>0.56400000000000072</v>
      </c>
      <c r="G14" s="261">
        <f t="shared" si="18"/>
        <v>29.564</v>
      </c>
      <c r="H14" s="4">
        <v>6</v>
      </c>
      <c r="I14" s="16">
        <f t="shared" si="19"/>
        <v>41492</v>
      </c>
      <c r="J14" s="6">
        <v>0.34791666666666665</v>
      </c>
      <c r="K14" s="6">
        <v>0.64236111111111105</v>
      </c>
      <c r="L14" s="5">
        <f>IF(K14&gt;0,ROUND(((K14-J14)*24)-SUM(BR14:BS14)+BT14,2)+IF(Fredagsfrokost="n",IF(WEEKDAY($I14,2)=5,IF(K14&gt;=0.5,IF(K14&lt;=13/24,0,0),0),0),0),IF(AW14&gt;0,AW14,""))</f>
        <v>7.07</v>
      </c>
      <c r="M14" s="141">
        <f>FLOOR(L14,1)</f>
        <v>7</v>
      </c>
      <c r="N14" s="141">
        <f>+L14-M14</f>
        <v>7.0000000000000284E-2</v>
      </c>
      <c r="O14" s="141">
        <f>+N14/100*60</f>
        <v>4.2000000000000169E-2</v>
      </c>
      <c r="P14" s="162">
        <f>IF(J14="","",O14+M14)</f>
        <v>7.0419999999999998</v>
      </c>
      <c r="Q14" s="591"/>
      <c r="R14" s="592"/>
      <c r="S14" s="592"/>
      <c r="T14" s="593"/>
      <c r="U14" s="417"/>
      <c r="V14" s="240">
        <f t="shared" si="4"/>
        <v>0</v>
      </c>
      <c r="W14" s="240">
        <f t="shared" si="5"/>
        <v>0</v>
      </c>
      <c r="X14" s="240">
        <f t="shared" si="6"/>
        <v>0</v>
      </c>
      <c r="Y14" s="242">
        <f t="shared" si="20"/>
        <v>0</v>
      </c>
      <c r="Z14" s="417"/>
      <c r="AA14" s="417"/>
      <c r="AB14" s="417"/>
      <c r="AC14" s="417"/>
      <c r="AD14" s="417"/>
      <c r="AE14" s="240">
        <f t="shared" si="7"/>
        <v>0</v>
      </c>
      <c r="AF14" s="240">
        <f t="shared" si="8"/>
        <v>0</v>
      </c>
      <c r="AG14" s="240">
        <f t="shared" si="9"/>
        <v>0</v>
      </c>
      <c r="AH14" s="242">
        <f t="shared" si="21"/>
        <v>0</v>
      </c>
      <c r="AI14" s="417"/>
      <c r="AJ14" s="417"/>
      <c r="AK14" s="417"/>
      <c r="AL14" s="417"/>
      <c r="AM14" s="472"/>
      <c r="AN14" s="240">
        <f t="shared" si="10"/>
        <v>0</v>
      </c>
      <c r="AO14" s="240">
        <f t="shared" si="11"/>
        <v>0</v>
      </c>
      <c r="AP14" s="240">
        <f t="shared" si="12"/>
        <v>0</v>
      </c>
      <c r="AQ14" s="242">
        <f t="shared" si="22"/>
        <v>0</v>
      </c>
      <c r="AR14" s="245"/>
      <c r="AS14" s="245"/>
      <c r="AT14" s="245"/>
      <c r="AU14" s="420"/>
      <c r="AZ14" s="189"/>
      <c r="BA14" s="189"/>
      <c r="BB14" s="189"/>
      <c r="BC14" s="189"/>
      <c r="BD14" s="189"/>
      <c r="BE14" s="189"/>
      <c r="BG14" s="145">
        <f>IF($K14&gt;=0,+SUM(L$9:$L14)-$B14+Aug!$AZ$41+SUM(AQ$9:$AQ14)," ")</f>
        <v>-3.3333333333303017E-3</v>
      </c>
      <c r="BH14" s="144">
        <f t="shared" si="23"/>
        <v>-1</v>
      </c>
      <c r="BI14" s="146">
        <f t="shared" si="24"/>
        <v>0</v>
      </c>
      <c r="BJ14" s="146">
        <f t="shared" si="25"/>
        <v>-3.3333333333303017E-3</v>
      </c>
      <c r="BK14" s="146">
        <f t="shared" si="26"/>
        <v>-1.9999999999981812E-3</v>
      </c>
      <c r="BL14" s="164">
        <f t="shared" si="27"/>
        <v>-1.9999999999981812E-3</v>
      </c>
      <c r="BM14" s="157">
        <f t="shared" si="28"/>
        <v>7.0419999999999998</v>
      </c>
      <c r="BN14">
        <f t="shared" si="13"/>
        <v>2</v>
      </c>
    </row>
    <row r="15" spans="1:66" ht="15.95" customHeight="1" x14ac:dyDescent="0.25">
      <c r="A15" s="83"/>
      <c r="B15" s="79">
        <f>IF($I15&lt;&gt;"",IF(WEEKDAY($I15,2)&lt;6,IF(VLOOKUP(WEEKDAY($I15,2),InputUge,3)&gt;0,IF($A15="",VLOOKUP(WEEKDAY($I15,2),InputUge,3)+MAX(B$8:B14),IF($A15&lt;VLOOKUP(WEEKDAY($I15,2),InputUge,3),$A15+MAX(B$8:B14),VLOOKUP(WEEKDAY($I15,2),InputUge,3)+MAX(B$8:B14))),""),""),"")</f>
        <v>37.006666666666668</v>
      </c>
      <c r="C15" s="144">
        <f t="shared" si="14"/>
        <v>1</v>
      </c>
      <c r="D15" s="146">
        <f t="shared" si="15"/>
        <v>37</v>
      </c>
      <c r="E15" s="146">
        <f t="shared" si="16"/>
        <v>6.6666666666677088E-3</v>
      </c>
      <c r="F15" s="146">
        <f t="shared" si="17"/>
        <v>4.0000000000006255E-3</v>
      </c>
      <c r="G15" s="261">
        <f t="shared" si="18"/>
        <v>37.003999999999998</v>
      </c>
      <c r="H15" s="4">
        <v>7</v>
      </c>
      <c r="I15" s="16">
        <f t="shared" si="19"/>
        <v>41493</v>
      </c>
      <c r="J15" s="6">
        <v>0.34791666666666665</v>
      </c>
      <c r="K15" s="6">
        <v>0.64236111111111105</v>
      </c>
      <c r="L15" s="5">
        <f>IF(K15&gt;0,ROUND(((K15-J15)*24)-SUM(BR15:BS15)+BT15,2)+IF(Fredagsfrokost="n",IF(WEEKDAY($I15,2)=5,IF(K15&gt;=0.5,IF(K15&lt;=13/24,0,0),0),0),0),IF(AW15&gt;0,AW15,""))</f>
        <v>7.07</v>
      </c>
      <c r="M15" s="141">
        <f>FLOOR(L15,1)</f>
        <v>7</v>
      </c>
      <c r="N15" s="141">
        <f>+L15-M15</f>
        <v>7.0000000000000284E-2</v>
      </c>
      <c r="O15" s="141">
        <f>+N15/100*60</f>
        <v>4.2000000000000169E-2</v>
      </c>
      <c r="P15" s="162">
        <f>IF(J15="","",O15+M15)</f>
        <v>7.0419999999999998</v>
      </c>
      <c r="Q15" s="591"/>
      <c r="R15" s="592"/>
      <c r="S15" s="592"/>
      <c r="T15" s="593"/>
      <c r="U15" s="417"/>
      <c r="V15" s="240">
        <f t="shared" si="4"/>
        <v>0</v>
      </c>
      <c r="W15" s="240">
        <f t="shared" si="5"/>
        <v>0</v>
      </c>
      <c r="X15" s="240">
        <f t="shared" si="6"/>
        <v>0</v>
      </c>
      <c r="Y15" s="242">
        <f t="shared" si="20"/>
        <v>0</v>
      </c>
      <c r="Z15" s="417"/>
      <c r="AA15" s="417"/>
      <c r="AB15" s="417"/>
      <c r="AC15" s="417"/>
      <c r="AD15" s="417"/>
      <c r="AE15" s="240">
        <f t="shared" si="7"/>
        <v>0</v>
      </c>
      <c r="AF15" s="240">
        <f t="shared" si="8"/>
        <v>0</v>
      </c>
      <c r="AG15" s="240">
        <f t="shared" si="9"/>
        <v>0</v>
      </c>
      <c r="AH15" s="242">
        <f t="shared" si="21"/>
        <v>0</v>
      </c>
      <c r="AI15" s="417"/>
      <c r="AJ15" s="417"/>
      <c r="AK15" s="417"/>
      <c r="AL15" s="417"/>
      <c r="AM15" s="472"/>
      <c r="AN15" s="240">
        <f t="shared" si="10"/>
        <v>0</v>
      </c>
      <c r="AO15" s="240">
        <f t="shared" si="11"/>
        <v>0</v>
      </c>
      <c r="AP15" s="240">
        <f t="shared" si="12"/>
        <v>0</v>
      </c>
      <c r="AQ15" s="242">
        <f t="shared" si="22"/>
        <v>0</v>
      </c>
      <c r="AR15" s="245"/>
      <c r="AS15" s="245"/>
      <c r="AT15" s="245"/>
      <c r="AU15" s="420"/>
      <c r="AZ15" s="189"/>
      <c r="BA15" s="189"/>
      <c r="BB15" s="189"/>
      <c r="BC15" s="189"/>
      <c r="BD15" s="189"/>
      <c r="BE15" s="189"/>
      <c r="BG15" s="145">
        <f>IF($K15&gt;=0,+SUM(L$9:$L15)-$B15+Aug!$AZ$41+SUM(AQ$9:$AQ15)," ")</f>
        <v>7.1054273576010019E-15</v>
      </c>
      <c r="BH15" s="144">
        <f t="shared" si="23"/>
        <v>1</v>
      </c>
      <c r="BI15" s="146">
        <f t="shared" si="24"/>
        <v>0</v>
      </c>
      <c r="BJ15" s="146">
        <f t="shared" si="25"/>
        <v>7.1054273576010019E-15</v>
      </c>
      <c r="BK15" s="146">
        <f t="shared" si="26"/>
        <v>4.263256414560601E-15</v>
      </c>
      <c r="BL15" s="164">
        <f t="shared" si="27"/>
        <v>4.263256414560601E-15</v>
      </c>
      <c r="BM15" s="157">
        <f t="shared" si="28"/>
        <v>7.0419999999999998</v>
      </c>
      <c r="BN15">
        <f t="shared" si="13"/>
        <v>2</v>
      </c>
    </row>
    <row r="16" spans="1:66" ht="15.95" customHeight="1" x14ac:dyDescent="0.25">
      <c r="A16" s="83"/>
      <c r="B16" s="79">
        <f>IF($I16&lt;&gt;"",IF(WEEKDAY($I16,2)&lt;6,IF(VLOOKUP(WEEKDAY($I16,2),InputUge,3)&gt;0,IF($A16="",VLOOKUP(WEEKDAY($I16,2),InputUge,3)+MAX(B$8:B15),IF($A16&lt;VLOOKUP(WEEKDAY($I16,2),InputUge,3),$A16+MAX(B$8:B15),VLOOKUP(WEEKDAY($I16,2),InputUge,3)+MAX(B$8:B15))),""),""),"")</f>
        <v>46.416666666666671</v>
      </c>
      <c r="C16" s="144">
        <f t="shared" si="14"/>
        <v>1</v>
      </c>
      <c r="D16" s="146">
        <f t="shared" si="15"/>
        <v>46</v>
      </c>
      <c r="E16" s="146">
        <f t="shared" si="16"/>
        <v>0.4166666666666714</v>
      </c>
      <c r="F16" s="146">
        <f t="shared" si="17"/>
        <v>0.25000000000000289</v>
      </c>
      <c r="G16" s="261">
        <f t="shared" si="18"/>
        <v>46.25</v>
      </c>
      <c r="H16" s="4">
        <v>8</v>
      </c>
      <c r="I16" s="16">
        <f t="shared" si="19"/>
        <v>41494</v>
      </c>
      <c r="J16" s="6">
        <v>0.34791666666666665</v>
      </c>
      <c r="K16" s="6">
        <v>0.73987268518518512</v>
      </c>
      <c r="L16" s="5">
        <f>IF(K16&gt;0,ROUND(((K16-J16)*24)-SUM(BR16:BS16)+BT16,2)+IF(Fredagsfrokost="n",IF(WEEKDAY($I16,2)=5,IF(K16&gt;=0.5,IF(K16&lt;=13/24,0,0),0),0),0),IF(AW16&gt;0,AW16,""))</f>
        <v>9.41</v>
      </c>
      <c r="M16" s="141">
        <f>FLOOR(L16,1)</f>
        <v>9</v>
      </c>
      <c r="N16" s="141">
        <f>+L16-M16</f>
        <v>0.41000000000000014</v>
      </c>
      <c r="O16" s="141">
        <f>+N16/100*60</f>
        <v>0.24600000000000008</v>
      </c>
      <c r="P16" s="162">
        <f>IF(J16="","",O16+M16)</f>
        <v>9.2460000000000004</v>
      </c>
      <c r="Q16" s="591"/>
      <c r="R16" s="592"/>
      <c r="S16" s="592"/>
      <c r="T16" s="593"/>
      <c r="U16" s="417"/>
      <c r="V16" s="240">
        <f t="shared" si="4"/>
        <v>0</v>
      </c>
      <c r="W16" s="240">
        <f t="shared" si="5"/>
        <v>0</v>
      </c>
      <c r="X16" s="240">
        <f t="shared" si="6"/>
        <v>0</v>
      </c>
      <c r="Y16" s="242">
        <f t="shared" si="20"/>
        <v>0</v>
      </c>
      <c r="Z16" s="417"/>
      <c r="AA16" s="417"/>
      <c r="AB16" s="417"/>
      <c r="AC16" s="417"/>
      <c r="AD16" s="417"/>
      <c r="AE16" s="240">
        <f t="shared" si="7"/>
        <v>0</v>
      </c>
      <c r="AF16" s="240">
        <f t="shared" si="8"/>
        <v>0</v>
      </c>
      <c r="AG16" s="240">
        <f t="shared" si="9"/>
        <v>0</v>
      </c>
      <c r="AH16" s="242">
        <f t="shared" si="21"/>
        <v>0</v>
      </c>
      <c r="AI16" s="417"/>
      <c r="AJ16" s="417"/>
      <c r="AK16" s="417"/>
      <c r="AL16" s="417"/>
      <c r="AM16" s="472"/>
      <c r="AN16" s="240">
        <f t="shared" si="10"/>
        <v>0</v>
      </c>
      <c r="AO16" s="240">
        <f t="shared" si="11"/>
        <v>0</v>
      </c>
      <c r="AP16" s="240">
        <f t="shared" si="12"/>
        <v>0</v>
      </c>
      <c r="AQ16" s="242">
        <f t="shared" si="22"/>
        <v>0</v>
      </c>
      <c r="AR16" s="245"/>
      <c r="AS16" s="245"/>
      <c r="AT16" s="245"/>
      <c r="AU16" s="420"/>
      <c r="AZ16" s="189"/>
      <c r="BA16" s="189"/>
      <c r="BB16" s="189"/>
      <c r="BC16" s="189"/>
      <c r="BD16" s="189"/>
      <c r="BE16" s="189"/>
      <c r="BG16" s="145">
        <f>IF($K16&gt;=0,+SUM(L$9:$L16)-$B16+Aug!$AZ$41+SUM(AQ$9:$AQ16)," ")</f>
        <v>0</v>
      </c>
      <c r="BH16" s="144">
        <f t="shared" si="23"/>
        <v>1</v>
      </c>
      <c r="BI16" s="146">
        <f>FLOOR(BG16,BH16)</f>
        <v>0</v>
      </c>
      <c r="BJ16" s="146">
        <f>+BG16-BI16</f>
        <v>0</v>
      </c>
      <c r="BK16" s="146">
        <f t="shared" si="26"/>
        <v>0</v>
      </c>
      <c r="BL16" s="164">
        <f>IF(BN16=2,+BK16+BI16,"")</f>
        <v>0</v>
      </c>
      <c r="BM16" s="157">
        <f>+P16</f>
        <v>9.2460000000000004</v>
      </c>
      <c r="BN16">
        <f t="shared" si="13"/>
        <v>2</v>
      </c>
    </row>
    <row r="17" spans="1:66" ht="15.95" customHeight="1" x14ac:dyDescent="0.25">
      <c r="A17" s="83"/>
      <c r="B17" s="79">
        <f>IF($I17&lt;&gt;"",IF(WEEKDAY($I17,2)&lt;6,IF(VLOOKUP(WEEKDAY($I17,2),InputUge,3)&gt;0,IF($A17="",VLOOKUP(WEEKDAY($I17,2),InputUge,3)+MAX(B$8:B16),IF($A17&lt;VLOOKUP(WEEKDAY($I17,2),InputUge,3),$A17+MAX(B$8:B16),VLOOKUP(WEEKDAY($I17,2),InputUge,3)+MAX(B$8:B16))),""),""),"")</f>
        <v>52.81666666666667</v>
      </c>
      <c r="C17" s="144">
        <f t="shared" si="14"/>
        <v>1</v>
      </c>
      <c r="D17" s="146">
        <f t="shared" si="15"/>
        <v>52</v>
      </c>
      <c r="E17" s="146">
        <f t="shared" si="16"/>
        <v>0.81666666666666998</v>
      </c>
      <c r="F17" s="146">
        <f t="shared" si="17"/>
        <v>0.49000000000000205</v>
      </c>
      <c r="G17" s="261">
        <f t="shared" si="18"/>
        <v>52.49</v>
      </c>
      <c r="H17" s="4">
        <v>9</v>
      </c>
      <c r="I17" s="16">
        <f t="shared" si="19"/>
        <v>41495</v>
      </c>
      <c r="J17" s="6">
        <v>0.34791666666666665</v>
      </c>
      <c r="K17" s="6">
        <v>0.61458333333333337</v>
      </c>
      <c r="L17" s="5">
        <f>IF(K17&gt;0,ROUND(((K17-J17)*24)-SUM(BR17:BS17)+BT17,2)+IF(Fredagsfrokost="n",IF(WEEKDAY($I17,2)=5,IF(K17&gt;=0.5,IF(K17&lt;=13/24,0,0),0),0),0),IF(AW17&gt;0,AW17,""))</f>
        <v>6.4</v>
      </c>
      <c r="M17" s="141">
        <f>FLOOR(L17,1)</f>
        <v>6</v>
      </c>
      <c r="N17" s="141">
        <f>+L17-M17</f>
        <v>0.40000000000000036</v>
      </c>
      <c r="O17" s="141">
        <f>+N17/100*60</f>
        <v>0.24000000000000021</v>
      </c>
      <c r="P17" s="162">
        <f>IF(J17="","",O17+M17)</f>
        <v>6.24</v>
      </c>
      <c r="Q17" s="591"/>
      <c r="R17" s="592"/>
      <c r="S17" s="592"/>
      <c r="T17" s="593"/>
      <c r="U17" s="417"/>
      <c r="V17" s="240">
        <f t="shared" si="4"/>
        <v>0</v>
      </c>
      <c r="W17" s="240">
        <f t="shared" si="5"/>
        <v>0</v>
      </c>
      <c r="X17" s="240">
        <f t="shared" si="6"/>
        <v>0</v>
      </c>
      <c r="Y17" s="242">
        <f t="shared" si="20"/>
        <v>0</v>
      </c>
      <c r="Z17" s="417"/>
      <c r="AA17" s="417"/>
      <c r="AB17" s="417"/>
      <c r="AC17" s="417"/>
      <c r="AD17" s="417"/>
      <c r="AE17" s="240">
        <f t="shared" si="7"/>
        <v>0</v>
      </c>
      <c r="AF17" s="240">
        <f t="shared" si="8"/>
        <v>0</v>
      </c>
      <c r="AG17" s="240">
        <f t="shared" si="9"/>
        <v>0</v>
      </c>
      <c r="AH17" s="242">
        <f t="shared" si="21"/>
        <v>0</v>
      </c>
      <c r="AI17" s="417"/>
      <c r="AJ17" s="417"/>
      <c r="AK17" s="417"/>
      <c r="AL17" s="417"/>
      <c r="AM17" s="472"/>
      <c r="AN17" s="240">
        <f t="shared" si="10"/>
        <v>0</v>
      </c>
      <c r="AO17" s="240">
        <f t="shared" si="11"/>
        <v>0</v>
      </c>
      <c r="AP17" s="240">
        <f t="shared" si="12"/>
        <v>0</v>
      </c>
      <c r="AQ17" s="242">
        <f t="shared" si="22"/>
        <v>0</v>
      </c>
      <c r="AR17" s="245"/>
      <c r="AS17" s="245"/>
      <c r="AT17" s="245"/>
      <c r="AU17" s="420"/>
      <c r="AZ17" s="189"/>
      <c r="BA17" s="189"/>
      <c r="BB17" s="189"/>
      <c r="BC17" s="189"/>
      <c r="BD17" s="189"/>
      <c r="BE17" s="189"/>
      <c r="BG17" s="145">
        <f>IF($K17&gt;=0,+SUM(L$9:$L17)-$B17+Aug!$AZ$41+SUM(AQ$9:$AQ17)," ")</f>
        <v>0</v>
      </c>
      <c r="BH17" s="144">
        <f t="shared" si="23"/>
        <v>1</v>
      </c>
      <c r="BI17" s="146">
        <f t="shared" si="24"/>
        <v>0</v>
      </c>
      <c r="BJ17" s="146">
        <f t="shared" si="25"/>
        <v>0</v>
      </c>
      <c r="BK17" s="146">
        <f t="shared" si="26"/>
        <v>0</v>
      </c>
      <c r="BL17" s="164">
        <f t="shared" si="27"/>
        <v>0</v>
      </c>
      <c r="BM17" s="157">
        <f t="shared" si="28"/>
        <v>6.24</v>
      </c>
      <c r="BN17">
        <f t="shared" si="13"/>
        <v>2</v>
      </c>
    </row>
    <row r="18" spans="1:66" ht="15.95" customHeight="1" x14ac:dyDescent="0.25">
      <c r="A18" s="83"/>
      <c r="B18" s="79" t="str">
        <f>IF($I18&lt;&gt;"",IF(WEEKDAY($I18,2)&lt;6,IF(VLOOKUP(WEEKDAY($I18,2),InputUge,3)&gt;0,IF($A18="",VLOOKUP(WEEKDAY($I18,2),InputUge,3)+MAX(B$8:B17),IF($A18&lt;VLOOKUP(WEEKDAY($I18,2),InputUge,3),$A18+MAX(B$8:B17),VLOOKUP(WEEKDAY($I18,2),InputUge,3)+MAX(B$8:B17))),""),""),"")</f>
        <v/>
      </c>
      <c r="C18" s="144">
        <f t="shared" si="14"/>
        <v>1</v>
      </c>
      <c r="D18" s="146" t="e">
        <f t="shared" si="15"/>
        <v>#VALUE!</v>
      </c>
      <c r="E18" s="146" t="e">
        <f t="shared" si="16"/>
        <v>#VALUE!</v>
      </c>
      <c r="F18" s="146" t="e">
        <f t="shared" si="17"/>
        <v>#VALUE!</v>
      </c>
      <c r="G18" s="261"/>
      <c r="H18" s="4">
        <v>10</v>
      </c>
      <c r="I18" s="16">
        <f t="shared" si="19"/>
        <v>41496</v>
      </c>
      <c r="J18" s="6"/>
      <c r="K18" s="6"/>
      <c r="L18" s="5"/>
      <c r="M18" s="141"/>
      <c r="N18" s="141"/>
      <c r="O18" s="141"/>
      <c r="P18" s="162"/>
      <c r="Q18" s="591"/>
      <c r="R18" s="592"/>
      <c r="S18" s="592"/>
      <c r="T18" s="593"/>
      <c r="U18" s="417"/>
      <c r="V18" s="240">
        <f t="shared" si="4"/>
        <v>0</v>
      </c>
      <c r="W18" s="240">
        <f t="shared" si="5"/>
        <v>0</v>
      </c>
      <c r="X18" s="240">
        <f t="shared" si="6"/>
        <v>0</v>
      </c>
      <c r="Y18" s="242">
        <f t="shared" si="20"/>
        <v>0</v>
      </c>
      <c r="Z18" s="417"/>
      <c r="AA18" s="417"/>
      <c r="AB18" s="417"/>
      <c r="AC18" s="417"/>
      <c r="AD18" s="417"/>
      <c r="AE18" s="240">
        <f t="shared" si="7"/>
        <v>0</v>
      </c>
      <c r="AF18" s="240">
        <f t="shared" si="8"/>
        <v>0</v>
      </c>
      <c r="AG18" s="240">
        <f t="shared" si="9"/>
        <v>0</v>
      </c>
      <c r="AH18" s="242">
        <f t="shared" si="21"/>
        <v>0</v>
      </c>
      <c r="AI18" s="417"/>
      <c r="AJ18" s="417"/>
      <c r="AK18" s="417"/>
      <c r="AL18" s="417"/>
      <c r="AM18" s="472"/>
      <c r="AN18" s="240">
        <f t="shared" si="10"/>
        <v>0</v>
      </c>
      <c r="AO18" s="240">
        <f t="shared" si="11"/>
        <v>0</v>
      </c>
      <c r="AP18" s="240">
        <f t="shared" si="12"/>
        <v>0</v>
      </c>
      <c r="AQ18" s="242">
        <f t="shared" si="22"/>
        <v>0</v>
      </c>
      <c r="AR18" s="245"/>
      <c r="AS18" s="245"/>
      <c r="AT18" s="245"/>
      <c r="AU18" s="420"/>
      <c r="AZ18" s="189"/>
      <c r="BA18" s="189"/>
      <c r="BB18" s="189"/>
      <c r="BC18" s="189"/>
      <c r="BD18" s="189"/>
      <c r="BE18" s="189"/>
      <c r="BG18" s="145" t="e">
        <f>IF($K18&gt;=0,+SUM(L$9:$L18)-$B18+Aug!$AZ$41+SUM(AQ$9:$AQ18)," ")</f>
        <v>#VALUE!</v>
      </c>
      <c r="BH18" s="144" t="e">
        <f t="shared" si="23"/>
        <v>#VALUE!</v>
      </c>
      <c r="BI18" s="146" t="e">
        <f t="shared" si="24"/>
        <v>#VALUE!</v>
      </c>
      <c r="BJ18" s="146" t="e">
        <f t="shared" si="25"/>
        <v>#VALUE!</v>
      </c>
      <c r="BK18" s="146" t="e">
        <f t="shared" si="26"/>
        <v>#VALUE!</v>
      </c>
      <c r="BL18" s="164"/>
      <c r="BM18" s="157">
        <f t="shared" si="28"/>
        <v>0</v>
      </c>
      <c r="BN18">
        <f t="shared" si="13"/>
        <v>2</v>
      </c>
    </row>
    <row r="19" spans="1:66" ht="15.95" customHeight="1" x14ac:dyDescent="0.25">
      <c r="A19" s="83"/>
      <c r="B19" s="79" t="str">
        <f>IF($I19&lt;&gt;"",IF(WEEKDAY($I19,2)&lt;6,IF(VLOOKUP(WEEKDAY($I19,2),InputUge,3)&gt;0,IF($A19="",VLOOKUP(WEEKDAY($I19,2),InputUge,3)+MAX(B$8:B18),IF($A19&lt;VLOOKUP(WEEKDAY($I19,2),InputUge,3),$A19+MAX(B$8:B18),VLOOKUP(WEEKDAY($I19,2),InputUge,3)+MAX(B$8:B18))),""),""),"")</f>
        <v/>
      </c>
      <c r="C19" s="144">
        <f t="shared" si="14"/>
        <v>1</v>
      </c>
      <c r="D19" s="146" t="e">
        <f t="shared" si="15"/>
        <v>#VALUE!</v>
      </c>
      <c r="E19" s="146" t="e">
        <f t="shared" si="16"/>
        <v>#VALUE!</v>
      </c>
      <c r="F19" s="146" t="e">
        <f t="shared" si="17"/>
        <v>#VALUE!</v>
      </c>
      <c r="G19" s="261"/>
      <c r="H19" s="4">
        <v>11</v>
      </c>
      <c r="I19" s="16">
        <f t="shared" si="19"/>
        <v>41497</v>
      </c>
      <c r="J19" s="6"/>
      <c r="K19" s="6"/>
      <c r="L19" s="5"/>
      <c r="M19" s="141">
        <f t="shared" si="0"/>
        <v>0</v>
      </c>
      <c r="N19" s="141">
        <f t="shared" si="1"/>
        <v>0</v>
      </c>
      <c r="O19" s="141">
        <f t="shared" si="2"/>
        <v>0</v>
      </c>
      <c r="P19" s="141" t="str">
        <f t="shared" si="3"/>
        <v/>
      </c>
      <c r="Q19" s="591"/>
      <c r="R19" s="592"/>
      <c r="S19" s="592"/>
      <c r="T19" s="593"/>
      <c r="U19" s="417"/>
      <c r="V19" s="240">
        <f t="shared" si="4"/>
        <v>0</v>
      </c>
      <c r="W19" s="240">
        <f t="shared" si="5"/>
        <v>0</v>
      </c>
      <c r="X19" s="240">
        <f t="shared" si="6"/>
        <v>0</v>
      </c>
      <c r="Y19" s="242">
        <f t="shared" si="20"/>
        <v>0</v>
      </c>
      <c r="Z19" s="417"/>
      <c r="AA19" s="417"/>
      <c r="AB19" s="417"/>
      <c r="AC19" s="417"/>
      <c r="AD19" s="417"/>
      <c r="AE19" s="240">
        <f t="shared" si="7"/>
        <v>0</v>
      </c>
      <c r="AF19" s="240">
        <f t="shared" si="8"/>
        <v>0</v>
      </c>
      <c r="AG19" s="240">
        <f t="shared" si="9"/>
        <v>0</v>
      </c>
      <c r="AH19" s="242">
        <f t="shared" si="21"/>
        <v>0</v>
      </c>
      <c r="AI19" s="417"/>
      <c r="AJ19" s="417"/>
      <c r="AK19" s="417"/>
      <c r="AL19" s="417"/>
      <c r="AM19" s="472"/>
      <c r="AN19" s="240">
        <f t="shared" si="10"/>
        <v>0</v>
      </c>
      <c r="AO19" s="240">
        <f t="shared" si="11"/>
        <v>0</v>
      </c>
      <c r="AP19" s="240">
        <f t="shared" si="12"/>
        <v>0</v>
      </c>
      <c r="AQ19" s="242">
        <f t="shared" si="22"/>
        <v>0</v>
      </c>
      <c r="AR19" s="245"/>
      <c r="AS19" s="245"/>
      <c r="AT19" s="245"/>
      <c r="AU19" s="420"/>
      <c r="AZ19" s="189"/>
      <c r="BA19" s="189"/>
      <c r="BB19" s="189"/>
      <c r="BC19" s="189"/>
      <c r="BD19" s="189"/>
      <c r="BE19" s="189"/>
      <c r="BG19" s="145" t="e">
        <f>IF($K19&gt;=0,+SUM(L$9:$L19)-$B19+Aug!$AZ$41+SUM(AQ$9:$AQ19)," ")</f>
        <v>#VALUE!</v>
      </c>
      <c r="BH19" s="144" t="e">
        <f t="shared" si="23"/>
        <v>#VALUE!</v>
      </c>
      <c r="BI19" s="146" t="e">
        <f t="shared" si="24"/>
        <v>#VALUE!</v>
      </c>
      <c r="BJ19" s="146" t="e">
        <f t="shared" si="25"/>
        <v>#VALUE!</v>
      </c>
      <c r="BK19" s="146" t="e">
        <f t="shared" si="26"/>
        <v>#VALUE!</v>
      </c>
      <c r="BL19" s="164" t="str">
        <f t="shared" si="27"/>
        <v/>
      </c>
      <c r="BM19" s="157" t="str">
        <f t="shared" si="28"/>
        <v/>
      </c>
      <c r="BN19">
        <f t="shared" si="13"/>
        <v>1</v>
      </c>
    </row>
    <row r="20" spans="1:66" ht="15.95" customHeight="1" x14ac:dyDescent="0.25">
      <c r="A20" s="83"/>
      <c r="B20" s="79">
        <f>IF($I20&lt;&gt;"",IF(WEEKDAY($I20,2)&lt;6,IF(VLOOKUP(WEEKDAY($I20,2),InputUge,3)&gt;0,IF($A20="",VLOOKUP(WEEKDAY($I20,2),InputUge,3)+MAX(B$8:B19),IF($A20&lt;VLOOKUP(WEEKDAY($I20,2),InputUge,3),$A20+MAX(B$8:B19),VLOOKUP(WEEKDAY($I20,2),InputUge,3)+MAX(B$8:B19))),""),""),"")</f>
        <v>59.88</v>
      </c>
      <c r="C20" s="144">
        <f t="shared" si="14"/>
        <v>1</v>
      </c>
      <c r="D20" s="146">
        <f t="shared" si="15"/>
        <v>59</v>
      </c>
      <c r="E20" s="146">
        <f t="shared" si="16"/>
        <v>0.88000000000000256</v>
      </c>
      <c r="F20" s="146">
        <f t="shared" si="17"/>
        <v>0.52800000000000147</v>
      </c>
      <c r="G20" s="261">
        <f t="shared" si="18"/>
        <v>59.527999999999999</v>
      </c>
      <c r="H20" s="4">
        <v>12</v>
      </c>
      <c r="I20" s="16">
        <f t="shared" si="19"/>
        <v>41498</v>
      </c>
      <c r="J20" s="6">
        <v>0.34826388888888887</v>
      </c>
      <c r="K20" s="6">
        <v>0.64236111111111105</v>
      </c>
      <c r="L20" s="5">
        <f>IF(K20&gt;0,ROUND(((K20-J20)*24)-SUM(BR20:BS20)+BT20,2)+IF(Fredagsfrokost="n",IF(WEEKDAY($I20,2)=5,IF(K20&gt;=0.5,IF(K20&lt;=13/24,0,0),0),0),0),IF(AW20&gt;0,AW20,""))</f>
        <v>7.06</v>
      </c>
      <c r="M20" s="141">
        <f t="shared" si="0"/>
        <v>7</v>
      </c>
      <c r="N20" s="141">
        <f t="shared" si="1"/>
        <v>5.9999999999999609E-2</v>
      </c>
      <c r="O20" s="141">
        <f t="shared" si="2"/>
        <v>3.5999999999999761E-2</v>
      </c>
      <c r="P20" s="162">
        <f t="shared" si="3"/>
        <v>7.0359999999999996</v>
      </c>
      <c r="Q20" s="591"/>
      <c r="R20" s="592"/>
      <c r="S20" s="592"/>
      <c r="T20" s="593"/>
      <c r="U20" s="417"/>
      <c r="V20" s="240">
        <f t="shared" si="4"/>
        <v>0</v>
      </c>
      <c r="W20" s="240">
        <f t="shared" si="5"/>
        <v>0</v>
      </c>
      <c r="X20" s="240">
        <f t="shared" si="6"/>
        <v>0</v>
      </c>
      <c r="Y20" s="242">
        <f t="shared" si="20"/>
        <v>0</v>
      </c>
      <c r="Z20" s="417"/>
      <c r="AA20" s="417"/>
      <c r="AB20" s="417"/>
      <c r="AC20" s="417"/>
      <c r="AD20" s="417"/>
      <c r="AE20" s="240">
        <f t="shared" si="7"/>
        <v>0</v>
      </c>
      <c r="AF20" s="240">
        <f t="shared" si="8"/>
        <v>0</v>
      </c>
      <c r="AG20" s="240">
        <f t="shared" si="9"/>
        <v>0</v>
      </c>
      <c r="AH20" s="242">
        <f t="shared" si="21"/>
        <v>0</v>
      </c>
      <c r="AI20" s="417"/>
      <c r="AJ20" s="417"/>
      <c r="AK20" s="417"/>
      <c r="AL20" s="417"/>
      <c r="AM20" s="472"/>
      <c r="AN20" s="240">
        <f t="shared" si="10"/>
        <v>0</v>
      </c>
      <c r="AO20" s="240">
        <f t="shared" si="11"/>
        <v>0</v>
      </c>
      <c r="AP20" s="240">
        <f t="shared" si="12"/>
        <v>0</v>
      </c>
      <c r="AQ20" s="242">
        <f t="shared" si="22"/>
        <v>0</v>
      </c>
      <c r="AR20" s="245"/>
      <c r="AS20" s="245"/>
      <c r="AT20" s="245"/>
      <c r="AU20" s="420"/>
      <c r="AZ20" s="189"/>
      <c r="BA20" s="189"/>
      <c r="BB20" s="189"/>
      <c r="BC20" s="189"/>
      <c r="BD20" s="189"/>
      <c r="BE20" s="189"/>
      <c r="BG20" s="145">
        <f>IF($K20&gt;=0,+SUM(L$9:$L20)-$B20+Aug!$AZ$41+SUM(AQ$9:$AQ20)," ")</f>
        <v>-3.3333333333303017E-3</v>
      </c>
      <c r="BH20" s="144">
        <f t="shared" si="23"/>
        <v>-1</v>
      </c>
      <c r="BI20" s="146">
        <f t="shared" si="24"/>
        <v>0</v>
      </c>
      <c r="BJ20" s="146">
        <f t="shared" si="25"/>
        <v>-3.3333333333303017E-3</v>
      </c>
      <c r="BK20" s="146">
        <f t="shared" si="26"/>
        <v>-1.9999999999981812E-3</v>
      </c>
      <c r="BL20" s="164">
        <f t="shared" si="27"/>
        <v>-1.9999999999981812E-3</v>
      </c>
      <c r="BM20" s="157">
        <f t="shared" si="28"/>
        <v>7.0359999999999996</v>
      </c>
      <c r="BN20">
        <f t="shared" si="13"/>
        <v>2</v>
      </c>
    </row>
    <row r="21" spans="1:66" ht="15.95" customHeight="1" x14ac:dyDescent="0.25">
      <c r="A21" s="83"/>
      <c r="B21" s="79">
        <f>IF($I21&lt;&gt;"",IF(WEEKDAY($I21,2)&lt;6,IF(VLOOKUP(WEEKDAY($I21,2),InputUge,3)&gt;0,IF($A21="",VLOOKUP(WEEKDAY($I21,2),InputUge,3)+MAX(B$8:B20),IF($A21&lt;VLOOKUP(WEEKDAY($I21,2),InputUge,3),$A21+MAX(B$8:B20),VLOOKUP(WEEKDAY($I21,2),InputUge,3)+MAX(B$8:B20))),""),""),"")</f>
        <v>66.946666666666673</v>
      </c>
      <c r="C21" s="144">
        <f t="shared" si="14"/>
        <v>1</v>
      </c>
      <c r="D21" s="146">
        <f t="shared" si="15"/>
        <v>66</v>
      </c>
      <c r="E21" s="146">
        <f t="shared" si="16"/>
        <v>0.94666666666667254</v>
      </c>
      <c r="F21" s="146">
        <f t="shared" si="17"/>
        <v>0.5680000000000035</v>
      </c>
      <c r="G21" s="261">
        <f t="shared" si="18"/>
        <v>66.567999999999998</v>
      </c>
      <c r="H21" s="4">
        <v>13</v>
      </c>
      <c r="I21" s="16">
        <f t="shared" si="19"/>
        <v>41499</v>
      </c>
      <c r="J21" s="6">
        <v>0.34791666666666665</v>
      </c>
      <c r="K21" s="6">
        <v>0.64236111111111105</v>
      </c>
      <c r="L21" s="5">
        <f>IF(K21&gt;0,ROUND(((K21-J21)*24)-SUM(BR21:BS21)+BT21,2)+IF(Fredagsfrokost="n",IF(WEEKDAY($I21,2)=5,IF(K21&gt;=0.5,IF(K21&lt;=13/24,0,0),0),0),0),IF(AW21&gt;0,AW21,""))</f>
        <v>7.07</v>
      </c>
      <c r="M21" s="141">
        <f t="shared" si="0"/>
        <v>7</v>
      </c>
      <c r="N21" s="141">
        <f t="shared" si="1"/>
        <v>7.0000000000000284E-2</v>
      </c>
      <c r="O21" s="141">
        <f t="shared" si="2"/>
        <v>4.2000000000000169E-2</v>
      </c>
      <c r="P21" s="162">
        <f t="shared" si="3"/>
        <v>7.0419999999999998</v>
      </c>
      <c r="Q21" s="591" t="s">
        <v>99</v>
      </c>
      <c r="R21" s="592"/>
      <c r="S21" s="592"/>
      <c r="T21" s="593"/>
      <c r="U21" s="417"/>
      <c r="V21" s="240">
        <f>FLOOR(U21,1)</f>
        <v>0</v>
      </c>
      <c r="W21" s="240">
        <f t="shared" ref="W21:W33" si="29">+U21-V21</f>
        <v>0</v>
      </c>
      <c r="X21" s="240">
        <f>+W21/60*100</f>
        <v>0</v>
      </c>
      <c r="Y21" s="242">
        <f t="shared" si="20"/>
        <v>0</v>
      </c>
      <c r="Z21" s="417"/>
      <c r="AA21" s="417"/>
      <c r="AB21" s="417"/>
      <c r="AC21" s="417"/>
      <c r="AD21" s="417"/>
      <c r="AE21" s="240">
        <f t="shared" si="7"/>
        <v>0</v>
      </c>
      <c r="AF21" s="240">
        <f t="shared" si="8"/>
        <v>0</v>
      </c>
      <c r="AG21" s="240">
        <f t="shared" si="9"/>
        <v>0</v>
      </c>
      <c r="AH21" s="242">
        <f t="shared" si="21"/>
        <v>0</v>
      </c>
      <c r="AI21" s="417"/>
      <c r="AJ21" s="417"/>
      <c r="AK21" s="417"/>
      <c r="AL21" s="417"/>
      <c r="AM21" s="472"/>
      <c r="AN21" s="240">
        <f t="shared" si="10"/>
        <v>0</v>
      </c>
      <c r="AO21" s="240">
        <f t="shared" si="11"/>
        <v>0</v>
      </c>
      <c r="AP21" s="240">
        <f t="shared" si="12"/>
        <v>0</v>
      </c>
      <c r="AQ21" s="242">
        <f t="shared" si="22"/>
        <v>0</v>
      </c>
      <c r="AR21" s="245"/>
      <c r="AS21" s="245"/>
      <c r="AT21" s="245"/>
      <c r="AU21" s="420"/>
      <c r="AZ21" s="189"/>
      <c r="BA21" s="189"/>
      <c r="BB21" s="189"/>
      <c r="BC21" s="189"/>
      <c r="BD21" s="189"/>
      <c r="BE21" s="189"/>
      <c r="BG21" s="145">
        <f>IF($K21&gt;=0,+SUM(L$9:$L21)-$B21+Aug!$AZ$41+SUM(AQ$9:$AQ21)," ")</f>
        <v>0</v>
      </c>
      <c r="BH21" s="144">
        <f t="shared" si="23"/>
        <v>1</v>
      </c>
      <c r="BI21" s="146">
        <f t="shared" si="24"/>
        <v>0</v>
      </c>
      <c r="BJ21" s="146">
        <f t="shared" si="25"/>
        <v>0</v>
      </c>
      <c r="BK21" s="146">
        <f t="shared" si="26"/>
        <v>0</v>
      </c>
      <c r="BL21" s="164">
        <f t="shared" si="27"/>
        <v>0</v>
      </c>
      <c r="BM21" s="157">
        <f t="shared" si="28"/>
        <v>7.0419999999999998</v>
      </c>
      <c r="BN21">
        <f t="shared" si="13"/>
        <v>2</v>
      </c>
    </row>
    <row r="22" spans="1:66" ht="15.95" customHeight="1" x14ac:dyDescent="0.25">
      <c r="A22" s="83"/>
      <c r="B22" s="79">
        <f>IF($I22&lt;&gt;"",IF(WEEKDAY($I22,2)&lt;6,IF(VLOOKUP(WEEKDAY($I22,2),InputUge,3)&gt;0,IF($A22="",VLOOKUP(WEEKDAY($I22,2),InputUge,3)+MAX(B$8:B21),IF($A22&lt;VLOOKUP(WEEKDAY($I22,2),InputUge,3),$A22+MAX(B$8:B21),VLOOKUP(WEEKDAY($I22,2),InputUge,3)+MAX(B$8:B21))),""),""),"")</f>
        <v>74.013333333333335</v>
      </c>
      <c r="C22" s="144">
        <f t="shared" si="14"/>
        <v>1</v>
      </c>
      <c r="D22" s="146">
        <f t="shared" si="15"/>
        <v>74</v>
      </c>
      <c r="E22" s="146">
        <f t="shared" si="16"/>
        <v>1.3333333333335418E-2</v>
      </c>
      <c r="F22" s="146">
        <f t="shared" si="17"/>
        <v>8.0000000000012509E-3</v>
      </c>
      <c r="G22" s="261">
        <f t="shared" si="18"/>
        <v>74.007999999999996</v>
      </c>
      <c r="H22" s="4">
        <v>14</v>
      </c>
      <c r="I22" s="16">
        <f t="shared" si="19"/>
        <v>41500</v>
      </c>
      <c r="J22" s="6">
        <v>0.34791666666666665</v>
      </c>
      <c r="K22" s="6">
        <v>0.64236111111111105</v>
      </c>
      <c r="L22" s="5">
        <f>IF(K22&gt;0,ROUND(((K22-J22)*24)-SUM(BR22:BS22)+BT22,2)+IF(Fredagsfrokost="n",IF(WEEKDAY($I22,2)=5,IF(K22&gt;=0.5,IF(K22&lt;=13/24,0,0),0),0),0),IF(AW22&gt;0,AW22,""))</f>
        <v>7.07</v>
      </c>
      <c r="M22" s="141">
        <f t="shared" si="0"/>
        <v>7</v>
      </c>
      <c r="N22" s="141">
        <f t="shared" si="1"/>
        <v>7.0000000000000284E-2</v>
      </c>
      <c r="O22" s="141">
        <f t="shared" si="2"/>
        <v>4.2000000000000169E-2</v>
      </c>
      <c r="P22" s="162">
        <f t="shared" si="3"/>
        <v>7.0419999999999998</v>
      </c>
      <c r="Q22" s="591"/>
      <c r="R22" s="592"/>
      <c r="S22" s="592"/>
      <c r="T22" s="593"/>
      <c r="U22" s="417"/>
      <c r="V22" s="240">
        <f t="shared" si="4"/>
        <v>0</v>
      </c>
      <c r="W22" s="240">
        <f t="shared" si="29"/>
        <v>0</v>
      </c>
      <c r="X22" s="240">
        <f t="shared" si="6"/>
        <v>0</v>
      </c>
      <c r="Y22" s="242">
        <f t="shared" si="20"/>
        <v>0</v>
      </c>
      <c r="Z22" s="417"/>
      <c r="AA22" s="417"/>
      <c r="AB22" s="417"/>
      <c r="AC22" s="417"/>
      <c r="AD22" s="417"/>
      <c r="AE22" s="240">
        <f t="shared" si="7"/>
        <v>0</v>
      </c>
      <c r="AF22" s="240">
        <f t="shared" si="8"/>
        <v>0</v>
      </c>
      <c r="AG22" s="240">
        <f t="shared" si="9"/>
        <v>0</v>
      </c>
      <c r="AH22" s="242">
        <f t="shared" si="21"/>
        <v>0</v>
      </c>
      <c r="AI22" s="417"/>
      <c r="AJ22" s="417"/>
      <c r="AK22" s="417"/>
      <c r="AL22" s="417"/>
      <c r="AM22" s="472"/>
      <c r="AN22" s="240">
        <f t="shared" si="10"/>
        <v>0</v>
      </c>
      <c r="AO22" s="240">
        <f t="shared" si="11"/>
        <v>0</v>
      </c>
      <c r="AP22" s="240">
        <f t="shared" si="12"/>
        <v>0</v>
      </c>
      <c r="AQ22" s="242">
        <f t="shared" si="22"/>
        <v>0</v>
      </c>
      <c r="AR22" s="245"/>
      <c r="AS22" s="245"/>
      <c r="AT22" s="245"/>
      <c r="AU22" s="420"/>
      <c r="AZ22" s="189"/>
      <c r="BA22" s="189"/>
      <c r="BB22" s="189"/>
      <c r="BC22" s="189"/>
      <c r="BD22" s="189"/>
      <c r="BE22" s="189"/>
      <c r="BG22" s="145">
        <f>IF($K22&gt;=0,+SUM(L$9:$L22)-$B22+Aug!$AZ$41+SUM(AQ$9:$AQ22)," ")</f>
        <v>3.3333333333445125E-3</v>
      </c>
      <c r="BH22" s="144">
        <f t="shared" si="23"/>
        <v>1</v>
      </c>
      <c r="BI22" s="146">
        <f t="shared" si="24"/>
        <v>0</v>
      </c>
      <c r="BJ22" s="146">
        <f t="shared" si="25"/>
        <v>3.3333333333445125E-3</v>
      </c>
      <c r="BK22" s="146">
        <f t="shared" si="26"/>
        <v>2.0000000000067073E-3</v>
      </c>
      <c r="BL22" s="164">
        <f>IF(BN22=2,+BK22+BI22,"")</f>
        <v>2.0000000000067073E-3</v>
      </c>
      <c r="BM22" s="157">
        <f>+P22</f>
        <v>7.0419999999999998</v>
      </c>
      <c r="BN22">
        <f t="shared" si="13"/>
        <v>2</v>
      </c>
    </row>
    <row r="23" spans="1:66" ht="15.95" customHeight="1" x14ac:dyDescent="0.25">
      <c r="A23" s="83"/>
      <c r="B23" s="79">
        <f>IF($I23&lt;&gt;"",IF(WEEKDAY($I23,2)&lt;6,IF(VLOOKUP(WEEKDAY($I23,2),InputUge,3)&gt;0,IF($A23="",VLOOKUP(WEEKDAY($I23,2),InputUge,3)+MAX(B$8:B22),IF($A23&lt;VLOOKUP(WEEKDAY($I23,2),InputUge,3),$A23+MAX(B$8:B22),VLOOKUP(WEEKDAY($I23,2),InputUge,3)+MAX(B$8:B22))),""),""),"")</f>
        <v>83.423333333333332</v>
      </c>
      <c r="C23" s="144">
        <f t="shared" si="14"/>
        <v>1</v>
      </c>
      <c r="D23" s="146">
        <f t="shared" si="15"/>
        <v>83</v>
      </c>
      <c r="E23" s="146">
        <f t="shared" si="16"/>
        <v>0.42333333333333201</v>
      </c>
      <c r="F23" s="146">
        <f t="shared" si="17"/>
        <v>0.25399999999999917</v>
      </c>
      <c r="G23" s="261">
        <f t="shared" si="18"/>
        <v>83.254000000000005</v>
      </c>
      <c r="H23" s="4">
        <v>15</v>
      </c>
      <c r="I23" s="16">
        <f t="shared" si="19"/>
        <v>41501</v>
      </c>
      <c r="J23" s="6">
        <v>0.34791666666666665</v>
      </c>
      <c r="K23" s="6">
        <v>0.73987268518518512</v>
      </c>
      <c r="L23" s="5">
        <f>IF(K23&gt;0,ROUND(((K23-J23)*24)-SUM(BR23:BS23)+BT23,2)+IF(Fredagsfrokost="n",IF(WEEKDAY($I23,2)=5,IF(K23&gt;=0.5,IF(K23&lt;=13/24,0,0),0),0),0),IF(AW23&gt;0,AW23,""))</f>
        <v>9.41</v>
      </c>
      <c r="M23" s="141">
        <f t="shared" si="0"/>
        <v>9</v>
      </c>
      <c r="N23" s="141">
        <f t="shared" si="1"/>
        <v>0.41000000000000014</v>
      </c>
      <c r="O23" s="141">
        <f t="shared" si="2"/>
        <v>0.24600000000000008</v>
      </c>
      <c r="P23" s="162">
        <f t="shared" si="3"/>
        <v>9.2460000000000004</v>
      </c>
      <c r="Q23" s="591"/>
      <c r="R23" s="592"/>
      <c r="S23" s="592"/>
      <c r="T23" s="593"/>
      <c r="U23" s="417"/>
      <c r="V23" s="240">
        <f t="shared" si="4"/>
        <v>0</v>
      </c>
      <c r="W23" s="240">
        <f t="shared" si="29"/>
        <v>0</v>
      </c>
      <c r="X23" s="240">
        <f t="shared" si="6"/>
        <v>0</v>
      </c>
      <c r="Y23" s="242">
        <f t="shared" si="20"/>
        <v>0</v>
      </c>
      <c r="Z23" s="417"/>
      <c r="AA23" s="417"/>
      <c r="AB23" s="417"/>
      <c r="AC23" s="417"/>
      <c r="AD23" s="417"/>
      <c r="AE23" s="240">
        <f t="shared" si="7"/>
        <v>0</v>
      </c>
      <c r="AF23" s="240">
        <f t="shared" si="8"/>
        <v>0</v>
      </c>
      <c r="AG23" s="240">
        <f t="shared" si="9"/>
        <v>0</v>
      </c>
      <c r="AH23" s="242">
        <f t="shared" si="21"/>
        <v>0</v>
      </c>
      <c r="AI23" s="417"/>
      <c r="AJ23" s="417"/>
      <c r="AK23" s="417"/>
      <c r="AL23" s="417"/>
      <c r="AM23" s="472"/>
      <c r="AN23" s="240">
        <f t="shared" si="10"/>
        <v>0</v>
      </c>
      <c r="AO23" s="240">
        <f t="shared" si="11"/>
        <v>0</v>
      </c>
      <c r="AP23" s="240">
        <f t="shared" si="12"/>
        <v>0</v>
      </c>
      <c r="AQ23" s="242">
        <f t="shared" si="22"/>
        <v>0</v>
      </c>
      <c r="AR23" s="245"/>
      <c r="AS23" s="245"/>
      <c r="AT23" s="245"/>
      <c r="AU23" s="420"/>
      <c r="AZ23" s="189"/>
      <c r="BA23" s="189"/>
      <c r="BB23" s="189"/>
      <c r="BC23" s="189"/>
      <c r="BD23" s="189"/>
      <c r="BE23" s="189"/>
      <c r="BG23" s="145">
        <f>IF($K23&gt;=0,+SUM(L$9:$L23)-$B23+Aug!$AZ$41+SUM(AQ$9:$AQ23)," ")</f>
        <v>3.3333333333445125E-3</v>
      </c>
      <c r="BH23" s="144">
        <f t="shared" si="23"/>
        <v>1</v>
      </c>
      <c r="BI23" s="146">
        <f t="shared" si="24"/>
        <v>0</v>
      </c>
      <c r="BJ23" s="146">
        <f t="shared" si="25"/>
        <v>3.3333333333445125E-3</v>
      </c>
      <c r="BK23" s="146">
        <f t="shared" si="26"/>
        <v>2.0000000000067073E-3</v>
      </c>
      <c r="BL23" s="164">
        <f>IF(BN23=2,+BK23+BI23,"")</f>
        <v>2.0000000000067073E-3</v>
      </c>
      <c r="BM23" s="157">
        <f t="shared" si="28"/>
        <v>9.2460000000000004</v>
      </c>
      <c r="BN23">
        <f t="shared" si="13"/>
        <v>2</v>
      </c>
    </row>
    <row r="24" spans="1:66" ht="15.95" customHeight="1" x14ac:dyDescent="0.25">
      <c r="A24" s="83"/>
      <c r="B24" s="79">
        <f>IF($I24&lt;&gt;"",IF(WEEKDAY($I24,2)&lt;6,IF(VLOOKUP(WEEKDAY($I24,2),InputUge,3)&gt;0,IF($A24="",VLOOKUP(WEEKDAY($I24,2),InputUge,3)+MAX(B$8:B23),IF($A24&lt;VLOOKUP(WEEKDAY($I24,2),InputUge,3),$A24+MAX(B$8:B23),VLOOKUP(WEEKDAY($I24,2),InputUge,3)+MAX(B$8:B23))),""),""),"")</f>
        <v>89.823333333333338</v>
      </c>
      <c r="C24" s="144">
        <f t="shared" si="14"/>
        <v>1</v>
      </c>
      <c r="D24" s="146">
        <f t="shared" si="15"/>
        <v>89</v>
      </c>
      <c r="E24" s="146">
        <f t="shared" si="16"/>
        <v>0.82333333333333769</v>
      </c>
      <c r="F24" s="146">
        <f t="shared" si="17"/>
        <v>0.49400000000000266</v>
      </c>
      <c r="G24" s="261">
        <f t="shared" si="18"/>
        <v>89.494</v>
      </c>
      <c r="H24" s="4">
        <v>16</v>
      </c>
      <c r="I24" s="16">
        <f t="shared" si="19"/>
        <v>41502</v>
      </c>
      <c r="J24" s="6">
        <v>0.34791666666666665</v>
      </c>
      <c r="K24" s="6">
        <v>0.61458333333333337</v>
      </c>
      <c r="L24" s="5">
        <f>IF(K24&gt;0,ROUND(((K24-J24)*24)-SUM(BR24:BS24)+BT24,2)+IF(Fredagsfrokost="n",IF(WEEKDAY($I24,2)=5,IF(K24&gt;=0.5,IF(K24&lt;=13/24,0,0),0),0),0),IF(AW24&gt;0,AW24,""))</f>
        <v>6.4</v>
      </c>
      <c r="M24" s="141">
        <f t="shared" si="0"/>
        <v>6</v>
      </c>
      <c r="N24" s="141">
        <f t="shared" si="1"/>
        <v>0.40000000000000036</v>
      </c>
      <c r="O24" s="141">
        <f t="shared" si="2"/>
        <v>0.24000000000000021</v>
      </c>
      <c r="P24" s="162">
        <f t="shared" si="3"/>
        <v>6.24</v>
      </c>
      <c r="Q24" s="591"/>
      <c r="R24" s="592"/>
      <c r="S24" s="592"/>
      <c r="T24" s="593"/>
      <c r="U24" s="417"/>
      <c r="V24" s="240">
        <f t="shared" si="4"/>
        <v>0</v>
      </c>
      <c r="W24" s="240">
        <f t="shared" si="29"/>
        <v>0</v>
      </c>
      <c r="X24" s="240">
        <f t="shared" si="6"/>
        <v>0</v>
      </c>
      <c r="Y24" s="242">
        <f t="shared" si="20"/>
        <v>0</v>
      </c>
      <c r="Z24" s="417"/>
      <c r="AA24" s="417"/>
      <c r="AB24" s="417"/>
      <c r="AC24" s="417"/>
      <c r="AD24" s="417"/>
      <c r="AE24" s="240">
        <f t="shared" si="7"/>
        <v>0</v>
      </c>
      <c r="AF24" s="240">
        <f t="shared" si="8"/>
        <v>0</v>
      </c>
      <c r="AG24" s="240">
        <f t="shared" si="9"/>
        <v>0</v>
      </c>
      <c r="AH24" s="242">
        <f t="shared" si="21"/>
        <v>0</v>
      </c>
      <c r="AI24" s="417"/>
      <c r="AJ24" s="417"/>
      <c r="AK24" s="417"/>
      <c r="AL24" s="417"/>
      <c r="AM24" s="472"/>
      <c r="AN24" s="240">
        <f t="shared" si="10"/>
        <v>0</v>
      </c>
      <c r="AO24" s="240">
        <f t="shared" si="11"/>
        <v>0</v>
      </c>
      <c r="AP24" s="240">
        <f t="shared" si="12"/>
        <v>0</v>
      </c>
      <c r="AQ24" s="242">
        <f t="shared" si="22"/>
        <v>0</v>
      </c>
      <c r="AR24" s="245"/>
      <c r="AS24" s="245"/>
      <c r="AT24" s="245"/>
      <c r="AU24" s="420"/>
      <c r="AZ24" s="189"/>
      <c r="BA24" s="189"/>
      <c r="BB24" s="189"/>
      <c r="BC24" s="189"/>
      <c r="BD24" s="189"/>
      <c r="BE24" s="189"/>
      <c r="BG24" s="145">
        <f>IF($K24&gt;=0,+SUM(L$9:$L24)-$B24+Aug!$AZ$41+SUM(AQ$9:$AQ24)," ")</f>
        <v>3.3333333333445125E-3</v>
      </c>
      <c r="BH24" s="144">
        <f t="shared" si="23"/>
        <v>1</v>
      </c>
      <c r="BI24" s="146">
        <f t="shared" si="24"/>
        <v>0</v>
      </c>
      <c r="BJ24" s="146">
        <f t="shared" si="25"/>
        <v>3.3333333333445125E-3</v>
      </c>
      <c r="BK24" s="146">
        <f t="shared" si="26"/>
        <v>2.0000000000067073E-3</v>
      </c>
      <c r="BL24" s="164">
        <f t="shared" si="27"/>
        <v>2.0000000000067073E-3</v>
      </c>
      <c r="BM24" s="157">
        <f t="shared" si="28"/>
        <v>6.24</v>
      </c>
      <c r="BN24">
        <f t="shared" si="13"/>
        <v>2</v>
      </c>
    </row>
    <row r="25" spans="1:66" ht="15.95" customHeight="1" x14ac:dyDescent="0.25">
      <c r="A25" s="83"/>
      <c r="B25" s="79" t="str">
        <f>IF($I25&lt;&gt;"",IF(WEEKDAY($I25,2)&lt;6,IF(VLOOKUP(WEEKDAY($I25,2),InputUge,3)&gt;0,IF($A25="",VLOOKUP(WEEKDAY($I25,2),InputUge,3)+MAX(B$8:B24),IF($A25&lt;VLOOKUP(WEEKDAY($I25,2),InputUge,3),$A25+MAX(B$8:B24),VLOOKUP(WEEKDAY($I25,2),InputUge,3)+MAX(B$8:B24))),""),""),"")</f>
        <v/>
      </c>
      <c r="C25" s="144">
        <f t="shared" si="14"/>
        <v>1</v>
      </c>
      <c r="D25" s="146" t="e">
        <f t="shared" si="15"/>
        <v>#VALUE!</v>
      </c>
      <c r="E25" s="146" t="e">
        <f t="shared" si="16"/>
        <v>#VALUE!</v>
      </c>
      <c r="F25" s="146" t="e">
        <f t="shared" si="17"/>
        <v>#VALUE!</v>
      </c>
      <c r="G25" s="261"/>
      <c r="H25" s="4">
        <v>17</v>
      </c>
      <c r="I25" s="16">
        <f t="shared" si="19"/>
        <v>41503</v>
      </c>
      <c r="J25" s="6"/>
      <c r="K25" s="6"/>
      <c r="L25" s="5"/>
      <c r="M25" s="141"/>
      <c r="N25" s="141"/>
      <c r="O25" s="141"/>
      <c r="P25" s="162"/>
      <c r="Q25" s="591"/>
      <c r="R25" s="592"/>
      <c r="S25" s="592"/>
      <c r="T25" s="593"/>
      <c r="U25" s="417"/>
      <c r="V25" s="240">
        <f t="shared" si="4"/>
        <v>0</v>
      </c>
      <c r="W25" s="240">
        <f t="shared" si="29"/>
        <v>0</v>
      </c>
      <c r="X25" s="240">
        <f t="shared" si="6"/>
        <v>0</v>
      </c>
      <c r="Y25" s="242">
        <f t="shared" si="20"/>
        <v>0</v>
      </c>
      <c r="Z25" s="417"/>
      <c r="AA25" s="417"/>
      <c r="AB25" s="417"/>
      <c r="AC25" s="417"/>
      <c r="AD25" s="417"/>
      <c r="AE25" s="240">
        <f t="shared" si="7"/>
        <v>0</v>
      </c>
      <c r="AF25" s="240">
        <f t="shared" si="8"/>
        <v>0</v>
      </c>
      <c r="AG25" s="240">
        <f t="shared" si="9"/>
        <v>0</v>
      </c>
      <c r="AH25" s="242">
        <f t="shared" si="21"/>
        <v>0</v>
      </c>
      <c r="AI25" s="417"/>
      <c r="AJ25" s="417"/>
      <c r="AK25" s="417"/>
      <c r="AL25" s="417"/>
      <c r="AM25" s="472"/>
      <c r="AN25" s="240">
        <f t="shared" si="10"/>
        <v>0</v>
      </c>
      <c r="AO25" s="240">
        <f t="shared" si="11"/>
        <v>0</v>
      </c>
      <c r="AP25" s="240">
        <f t="shared" si="12"/>
        <v>0</v>
      </c>
      <c r="AQ25" s="242">
        <f t="shared" si="22"/>
        <v>0</v>
      </c>
      <c r="AR25" s="245"/>
      <c r="AS25" s="245"/>
      <c r="AT25" s="245"/>
      <c r="AU25" s="420"/>
      <c r="AZ25" s="189"/>
      <c r="BA25" s="189"/>
      <c r="BB25" s="189"/>
      <c r="BC25" s="189"/>
      <c r="BD25" s="189"/>
      <c r="BE25" s="189"/>
      <c r="BG25" s="145" t="e">
        <f>IF($K25&gt;=0,+SUM(L$9:$L25)-$B25+Aug!$AZ$41+SUM(AQ$9:$AQ25)," ")</f>
        <v>#VALUE!</v>
      </c>
      <c r="BH25" s="144" t="e">
        <f t="shared" si="23"/>
        <v>#VALUE!</v>
      </c>
      <c r="BI25" s="146" t="e">
        <f t="shared" si="24"/>
        <v>#VALUE!</v>
      </c>
      <c r="BJ25" s="146" t="e">
        <f t="shared" si="25"/>
        <v>#VALUE!</v>
      </c>
      <c r="BK25" s="146" t="e">
        <f t="shared" si="26"/>
        <v>#VALUE!</v>
      </c>
      <c r="BL25" s="164"/>
      <c r="BM25" s="157">
        <f t="shared" si="28"/>
        <v>0</v>
      </c>
      <c r="BN25">
        <f t="shared" si="13"/>
        <v>2</v>
      </c>
    </row>
    <row r="26" spans="1:66" ht="15.95" customHeight="1" x14ac:dyDescent="0.25">
      <c r="A26" s="83"/>
      <c r="B26" s="79" t="str">
        <f>IF($I26&lt;&gt;"",IF(WEEKDAY($I26,2)&lt;6,IF(VLOOKUP(WEEKDAY($I26,2),InputUge,3)&gt;0,IF($A26="",VLOOKUP(WEEKDAY($I26,2),InputUge,3)+MAX(B$8:B25),IF($A26&lt;VLOOKUP(WEEKDAY($I26,2),InputUge,3),$A26+MAX(B$8:B25),VLOOKUP(WEEKDAY($I26,2),InputUge,3)+MAX(B$8:B25))),""),""),"")</f>
        <v/>
      </c>
      <c r="C26" s="144">
        <f t="shared" si="14"/>
        <v>1</v>
      </c>
      <c r="D26" s="146" t="e">
        <f t="shared" si="15"/>
        <v>#VALUE!</v>
      </c>
      <c r="E26" s="146" t="e">
        <f t="shared" si="16"/>
        <v>#VALUE!</v>
      </c>
      <c r="F26" s="146" t="e">
        <f t="shared" si="17"/>
        <v>#VALUE!</v>
      </c>
      <c r="G26" s="261"/>
      <c r="H26" s="4">
        <v>18</v>
      </c>
      <c r="I26" s="16">
        <f t="shared" si="19"/>
        <v>41504</v>
      </c>
      <c r="J26" s="6"/>
      <c r="K26" s="6"/>
      <c r="L26" s="5"/>
      <c r="M26" s="141">
        <f t="shared" si="0"/>
        <v>0</v>
      </c>
      <c r="N26" s="141">
        <f t="shared" si="1"/>
        <v>0</v>
      </c>
      <c r="O26" s="141">
        <f t="shared" si="2"/>
        <v>0</v>
      </c>
      <c r="P26" s="141" t="str">
        <f t="shared" si="3"/>
        <v/>
      </c>
      <c r="Q26" s="591"/>
      <c r="R26" s="592"/>
      <c r="S26" s="592"/>
      <c r="T26" s="593"/>
      <c r="U26" s="417"/>
      <c r="V26" s="240">
        <f t="shared" si="4"/>
        <v>0</v>
      </c>
      <c r="W26" s="240">
        <f t="shared" si="29"/>
        <v>0</v>
      </c>
      <c r="X26" s="240">
        <f t="shared" si="6"/>
        <v>0</v>
      </c>
      <c r="Y26" s="242">
        <f t="shared" si="20"/>
        <v>0</v>
      </c>
      <c r="Z26" s="417"/>
      <c r="AA26" s="417"/>
      <c r="AB26" s="417"/>
      <c r="AC26" s="417"/>
      <c r="AD26" s="417"/>
      <c r="AE26" s="240">
        <f t="shared" si="7"/>
        <v>0</v>
      </c>
      <c r="AF26" s="240">
        <f t="shared" si="8"/>
        <v>0</v>
      </c>
      <c r="AG26" s="240">
        <f t="shared" si="9"/>
        <v>0</v>
      </c>
      <c r="AH26" s="242">
        <f t="shared" si="21"/>
        <v>0</v>
      </c>
      <c r="AI26" s="417"/>
      <c r="AJ26" s="417"/>
      <c r="AK26" s="417"/>
      <c r="AL26" s="417"/>
      <c r="AM26" s="472"/>
      <c r="AN26" s="240">
        <f t="shared" si="10"/>
        <v>0</v>
      </c>
      <c r="AO26" s="240">
        <f t="shared" si="11"/>
        <v>0</v>
      </c>
      <c r="AP26" s="240">
        <f t="shared" si="12"/>
        <v>0</v>
      </c>
      <c r="AQ26" s="242">
        <f t="shared" si="22"/>
        <v>0</v>
      </c>
      <c r="AR26" s="245"/>
      <c r="AS26" s="245"/>
      <c r="AT26" s="245"/>
      <c r="AU26" s="420"/>
      <c r="AZ26" s="189"/>
      <c r="BA26" s="189"/>
      <c r="BB26" s="189"/>
      <c r="BC26" s="189"/>
      <c r="BD26" s="189"/>
      <c r="BE26" s="189"/>
      <c r="BG26" s="145" t="e">
        <f>IF($K26&gt;=0,+SUM(L$9:$L26)-$B26+Aug!$AZ$41+SUM(AQ$9:$AQ26)," ")</f>
        <v>#VALUE!</v>
      </c>
      <c r="BH26" s="144" t="e">
        <f t="shared" si="23"/>
        <v>#VALUE!</v>
      </c>
      <c r="BI26" s="146" t="e">
        <f t="shared" si="24"/>
        <v>#VALUE!</v>
      </c>
      <c r="BJ26" s="146" t="e">
        <f t="shared" si="25"/>
        <v>#VALUE!</v>
      </c>
      <c r="BK26" s="146" t="e">
        <f t="shared" si="26"/>
        <v>#VALUE!</v>
      </c>
      <c r="BL26" s="164" t="str">
        <f t="shared" si="27"/>
        <v/>
      </c>
      <c r="BM26" s="157" t="str">
        <f t="shared" si="28"/>
        <v/>
      </c>
      <c r="BN26">
        <f t="shared" si="13"/>
        <v>1</v>
      </c>
    </row>
    <row r="27" spans="1:66" ht="15.95" customHeight="1" x14ac:dyDescent="0.25">
      <c r="A27" s="83"/>
      <c r="B27" s="79">
        <f>IF($I27&lt;&gt;"",IF(WEEKDAY($I27,2)&lt;6,IF(VLOOKUP(WEEKDAY($I27,2),InputUge,3)&gt;0,IF($A27="",VLOOKUP(WEEKDAY($I27,2),InputUge,3)+MAX(B$8:B26),IF($A27&lt;VLOOKUP(WEEKDAY($I27,2),InputUge,3),$A27+MAX(B$8:B26),VLOOKUP(WEEKDAY($I27,2),InputUge,3)+MAX(B$8:B26))),""),""),"")</f>
        <v>96.88666666666667</v>
      </c>
      <c r="C27" s="144">
        <f t="shared" si="14"/>
        <v>1</v>
      </c>
      <c r="D27" s="146">
        <f t="shared" si="15"/>
        <v>96</v>
      </c>
      <c r="E27" s="146">
        <f t="shared" si="16"/>
        <v>0.88666666666667027</v>
      </c>
      <c r="F27" s="146">
        <f t="shared" si="17"/>
        <v>0.53200000000000225</v>
      </c>
      <c r="G27" s="261">
        <f t="shared" si="18"/>
        <v>96.531999999999996</v>
      </c>
      <c r="H27" s="4">
        <v>19</v>
      </c>
      <c r="I27" s="16">
        <f t="shared" si="19"/>
        <v>41505</v>
      </c>
      <c r="J27" s="6">
        <v>0.34826388888888887</v>
      </c>
      <c r="K27" s="6">
        <v>0.64236111111111105</v>
      </c>
      <c r="L27" s="5">
        <f>IF(K27&gt;0,ROUND(((K27-J27)*24)-SUM(BR27:BS27)+BT27,2)+IF(Fredagsfrokost="n",IF(WEEKDAY($I27,2)=5,IF(K27&gt;=0.5,IF(K27&lt;=13/24,0,0),0),0),0),IF(AW27&gt;0,AW27,""))</f>
        <v>7.06</v>
      </c>
      <c r="M27" s="141">
        <f>FLOOR(L27,1)</f>
        <v>7</v>
      </c>
      <c r="N27" s="141">
        <f>+L27-M27</f>
        <v>5.9999999999999609E-2</v>
      </c>
      <c r="O27" s="141">
        <f>+N27/100*60</f>
        <v>3.5999999999999761E-2</v>
      </c>
      <c r="P27" s="162">
        <f>IF(J27="","",O27+M27)</f>
        <v>7.0359999999999996</v>
      </c>
      <c r="Q27" s="591"/>
      <c r="R27" s="592"/>
      <c r="S27" s="592"/>
      <c r="T27" s="593"/>
      <c r="U27" s="417"/>
      <c r="V27" s="240">
        <f t="shared" si="4"/>
        <v>0</v>
      </c>
      <c r="W27" s="240">
        <f t="shared" si="29"/>
        <v>0</v>
      </c>
      <c r="X27" s="240">
        <f t="shared" si="6"/>
        <v>0</v>
      </c>
      <c r="Y27" s="242">
        <f t="shared" si="20"/>
        <v>0</v>
      </c>
      <c r="Z27" s="417"/>
      <c r="AA27" s="417"/>
      <c r="AB27" s="417"/>
      <c r="AC27" s="417"/>
      <c r="AD27" s="417"/>
      <c r="AE27" s="240">
        <f t="shared" si="7"/>
        <v>0</v>
      </c>
      <c r="AF27" s="240">
        <f t="shared" si="8"/>
        <v>0</v>
      </c>
      <c r="AG27" s="240">
        <f t="shared" si="9"/>
        <v>0</v>
      </c>
      <c r="AH27" s="242">
        <f t="shared" si="21"/>
        <v>0</v>
      </c>
      <c r="AI27" s="417"/>
      <c r="AJ27" s="417"/>
      <c r="AK27" s="417"/>
      <c r="AL27" s="417"/>
      <c r="AM27" s="472"/>
      <c r="AN27" s="240">
        <f t="shared" si="10"/>
        <v>0</v>
      </c>
      <c r="AO27" s="240">
        <f t="shared" si="11"/>
        <v>0</v>
      </c>
      <c r="AP27" s="240">
        <f t="shared" si="12"/>
        <v>0</v>
      </c>
      <c r="AQ27" s="242">
        <f t="shared" si="22"/>
        <v>0</v>
      </c>
      <c r="AR27" s="245"/>
      <c r="AS27" s="245"/>
      <c r="AT27" s="245"/>
      <c r="AU27" s="420"/>
      <c r="AZ27" s="189"/>
      <c r="BA27" s="189"/>
      <c r="BB27" s="189"/>
      <c r="BC27" s="189"/>
      <c r="BD27" s="189"/>
      <c r="BE27" s="189"/>
      <c r="BG27" s="145">
        <f>IF($K27&gt;=0,+SUM(L$9:$L27)-$B27+Aug!$AZ$41+SUM(AQ$9:$AQ27)," ")</f>
        <v>1.4210854715202004E-14</v>
      </c>
      <c r="BH27" s="144">
        <f t="shared" si="23"/>
        <v>1</v>
      </c>
      <c r="BI27" s="146">
        <f t="shared" si="24"/>
        <v>0</v>
      </c>
      <c r="BJ27" s="146">
        <f t="shared" si="25"/>
        <v>1.4210854715202004E-14</v>
      </c>
      <c r="BK27" s="146">
        <f t="shared" si="26"/>
        <v>8.5265128291212019E-15</v>
      </c>
      <c r="BL27" s="164">
        <f t="shared" si="27"/>
        <v>8.5265128291212019E-15</v>
      </c>
      <c r="BM27" s="157">
        <f t="shared" si="28"/>
        <v>7.0359999999999996</v>
      </c>
      <c r="BN27">
        <f t="shared" si="13"/>
        <v>2</v>
      </c>
    </row>
    <row r="28" spans="1:66" ht="15.95" customHeight="1" x14ac:dyDescent="0.25">
      <c r="A28" s="83"/>
      <c r="B28" s="79">
        <f>IF($I28&lt;&gt;"",IF(WEEKDAY($I28,2)&lt;6,IF(VLOOKUP(WEEKDAY($I28,2),InputUge,3)&gt;0,IF($A28="",VLOOKUP(WEEKDAY($I28,2),InputUge,3)+MAX(B$8:B27),IF($A28&lt;VLOOKUP(WEEKDAY($I28,2),InputUge,3),$A28+MAX(B$8:B27),VLOOKUP(WEEKDAY($I28,2),InputUge,3)+MAX(B$8:B27))),""),""),"")</f>
        <v>103.95333333333333</v>
      </c>
      <c r="C28" s="144">
        <f t="shared" si="14"/>
        <v>1</v>
      </c>
      <c r="D28" s="146">
        <f t="shared" si="15"/>
        <v>103</v>
      </c>
      <c r="E28" s="146">
        <f t="shared" si="16"/>
        <v>0.95333333333333314</v>
      </c>
      <c r="F28" s="146">
        <f t="shared" si="17"/>
        <v>0.57199999999999984</v>
      </c>
      <c r="G28" s="261">
        <f t="shared" si="18"/>
        <v>103.572</v>
      </c>
      <c r="H28" s="4">
        <v>20</v>
      </c>
      <c r="I28" s="16">
        <f t="shared" si="19"/>
        <v>41506</v>
      </c>
      <c r="J28" s="6">
        <v>0.34791666666666665</v>
      </c>
      <c r="K28" s="6">
        <v>0.64236111111111105</v>
      </c>
      <c r="L28" s="5">
        <f>IF(K28&gt;0,ROUND(((K28-J28)*24)-SUM(BR28:BS28)+BT28,2)+IF(Fredagsfrokost="n",IF(WEEKDAY($I28,2)=5,IF(K28&gt;=0.5,IF(K28&lt;=13/24,0,0),0),0),0),IF(AW28&gt;0,AW28,""))</f>
        <v>7.07</v>
      </c>
      <c r="M28" s="141">
        <f>FLOOR(L28,1)</f>
        <v>7</v>
      </c>
      <c r="N28" s="141">
        <f>+L28-M28</f>
        <v>7.0000000000000284E-2</v>
      </c>
      <c r="O28" s="141">
        <f>+N28/100*60</f>
        <v>4.2000000000000169E-2</v>
      </c>
      <c r="P28" s="162">
        <f>IF(J28="","",O28+M28)</f>
        <v>7.0419999999999998</v>
      </c>
      <c r="Q28" s="591"/>
      <c r="R28" s="592"/>
      <c r="S28" s="592"/>
      <c r="T28" s="593"/>
      <c r="U28" s="417"/>
      <c r="V28" s="240">
        <f t="shared" si="4"/>
        <v>0</v>
      </c>
      <c r="W28" s="240">
        <f t="shared" si="29"/>
        <v>0</v>
      </c>
      <c r="X28" s="240">
        <f t="shared" si="6"/>
        <v>0</v>
      </c>
      <c r="Y28" s="242">
        <f t="shared" si="20"/>
        <v>0</v>
      </c>
      <c r="Z28" s="417"/>
      <c r="AA28" s="417"/>
      <c r="AB28" s="417"/>
      <c r="AC28" s="417"/>
      <c r="AD28" s="417"/>
      <c r="AE28" s="240">
        <f t="shared" si="7"/>
        <v>0</v>
      </c>
      <c r="AF28" s="240">
        <f t="shared" si="8"/>
        <v>0</v>
      </c>
      <c r="AG28" s="240">
        <f t="shared" si="9"/>
        <v>0</v>
      </c>
      <c r="AH28" s="242">
        <f t="shared" si="21"/>
        <v>0</v>
      </c>
      <c r="AI28" s="417"/>
      <c r="AJ28" s="417"/>
      <c r="AK28" s="417"/>
      <c r="AL28" s="417"/>
      <c r="AM28" s="472"/>
      <c r="AN28" s="240">
        <f t="shared" si="10"/>
        <v>0</v>
      </c>
      <c r="AO28" s="240">
        <f t="shared" si="11"/>
        <v>0</v>
      </c>
      <c r="AP28" s="240">
        <f t="shared" si="12"/>
        <v>0</v>
      </c>
      <c r="AQ28" s="242">
        <f t="shared" si="22"/>
        <v>0</v>
      </c>
      <c r="AR28" s="245"/>
      <c r="AS28" s="245"/>
      <c r="AT28" s="245"/>
      <c r="AU28" s="420"/>
      <c r="AZ28" s="189"/>
      <c r="BA28" s="189"/>
      <c r="BB28" s="189"/>
      <c r="BC28" s="189"/>
      <c r="BD28" s="189"/>
      <c r="BE28" s="189"/>
      <c r="BG28" s="145">
        <f>IF($K28&gt;=0,+SUM(L$9:$L28)-$B28+Aug!$AZ$41+SUM(AQ$9:$AQ28)," ")</f>
        <v>3.3333333333445125E-3</v>
      </c>
      <c r="BH28" s="144">
        <f t="shared" si="23"/>
        <v>1</v>
      </c>
      <c r="BI28" s="146">
        <f t="shared" si="24"/>
        <v>0</v>
      </c>
      <c r="BJ28" s="146">
        <f t="shared" si="25"/>
        <v>3.3333333333445125E-3</v>
      </c>
      <c r="BK28" s="146">
        <f t="shared" si="26"/>
        <v>2.0000000000067073E-3</v>
      </c>
      <c r="BL28" s="164">
        <f t="shared" si="27"/>
        <v>2.0000000000067073E-3</v>
      </c>
      <c r="BM28" s="157">
        <f t="shared" si="28"/>
        <v>7.0419999999999998</v>
      </c>
      <c r="BN28">
        <f t="shared" si="13"/>
        <v>2</v>
      </c>
    </row>
    <row r="29" spans="1:66" ht="15.95" customHeight="1" x14ac:dyDescent="0.25">
      <c r="A29" s="83"/>
      <c r="B29" s="79">
        <f>IF($I29&lt;&gt;"",IF(WEEKDAY($I29,2)&lt;6,IF(VLOOKUP(WEEKDAY($I29,2),InputUge,3)&gt;0,IF($A29="",VLOOKUP(WEEKDAY($I29,2),InputUge,3)+MAX(B$8:B28),IF($A29&lt;VLOOKUP(WEEKDAY($I29,2),InputUge,3),$A29+MAX(B$8:B28),VLOOKUP(WEEKDAY($I29,2),InputUge,3)+MAX(B$8:B28))),""),""),"")</f>
        <v>111.02</v>
      </c>
      <c r="C29" s="144">
        <f t="shared" si="14"/>
        <v>1</v>
      </c>
      <c r="D29" s="146">
        <f t="shared" si="15"/>
        <v>111</v>
      </c>
      <c r="E29" s="146">
        <f t="shared" si="16"/>
        <v>1.9999999999996021E-2</v>
      </c>
      <c r="F29" s="146">
        <f t="shared" si="17"/>
        <v>1.1999999999997613E-2</v>
      </c>
      <c r="G29" s="261">
        <f t="shared" si="18"/>
        <v>111.012</v>
      </c>
      <c r="H29" s="4">
        <v>21</v>
      </c>
      <c r="I29" s="16">
        <f t="shared" si="19"/>
        <v>41507</v>
      </c>
      <c r="J29" s="6">
        <v>0.34791666666666665</v>
      </c>
      <c r="K29" s="6">
        <v>0.64236111111111105</v>
      </c>
      <c r="L29" s="5">
        <f>IF(K29&gt;0,ROUND(((K29-J29)*24)-SUM(BR29:BS29)+BT29,2)+IF(Fredagsfrokost="n",IF(WEEKDAY($I29,2)=5,IF(K29&gt;=0.5,IF(K29&lt;=13/24,0,0),0),0),0),IF(AW29&gt;0,AW29,""))</f>
        <v>7.07</v>
      </c>
      <c r="M29" s="141">
        <f>FLOOR(L29,1)</f>
        <v>7</v>
      </c>
      <c r="N29" s="141">
        <f>+L29-M29</f>
        <v>7.0000000000000284E-2</v>
      </c>
      <c r="O29" s="141">
        <f>+N29/100*60</f>
        <v>4.2000000000000169E-2</v>
      </c>
      <c r="P29" s="162">
        <f>IF(J29="","",O29+M29)</f>
        <v>7.0419999999999998</v>
      </c>
      <c r="Q29" s="591"/>
      <c r="R29" s="592"/>
      <c r="S29" s="592"/>
      <c r="T29" s="593"/>
      <c r="U29" s="417"/>
      <c r="V29" s="240">
        <f t="shared" si="4"/>
        <v>0</v>
      </c>
      <c r="W29" s="240">
        <f t="shared" si="29"/>
        <v>0</v>
      </c>
      <c r="X29" s="240">
        <f t="shared" si="6"/>
        <v>0</v>
      </c>
      <c r="Y29" s="242">
        <f t="shared" si="20"/>
        <v>0</v>
      </c>
      <c r="Z29" s="417"/>
      <c r="AA29" s="417"/>
      <c r="AB29" s="417"/>
      <c r="AC29" s="417"/>
      <c r="AD29" s="417"/>
      <c r="AE29" s="240">
        <f t="shared" si="7"/>
        <v>0</v>
      </c>
      <c r="AF29" s="240">
        <f t="shared" si="8"/>
        <v>0</v>
      </c>
      <c r="AG29" s="240">
        <f t="shared" si="9"/>
        <v>0</v>
      </c>
      <c r="AH29" s="242">
        <f t="shared" si="21"/>
        <v>0</v>
      </c>
      <c r="AI29" s="417"/>
      <c r="AJ29" s="417"/>
      <c r="AK29" s="417"/>
      <c r="AL29" s="417"/>
      <c r="AM29" s="472"/>
      <c r="AN29" s="240">
        <f t="shared" si="10"/>
        <v>0</v>
      </c>
      <c r="AO29" s="240">
        <f t="shared" si="11"/>
        <v>0</v>
      </c>
      <c r="AP29" s="240">
        <f t="shared" si="12"/>
        <v>0</v>
      </c>
      <c r="AQ29" s="242">
        <f t="shared" si="22"/>
        <v>0</v>
      </c>
      <c r="AR29" s="245"/>
      <c r="AS29" s="245"/>
      <c r="AT29" s="245"/>
      <c r="AU29" s="420"/>
      <c r="AZ29" s="189"/>
      <c r="BA29" s="189"/>
      <c r="BB29" s="189"/>
      <c r="BC29" s="189"/>
      <c r="BD29" s="189"/>
      <c r="BE29" s="189"/>
      <c r="BG29" s="145">
        <f>IF($K29&gt;=0,+SUM(L$9:$L29)-$B29+Aug!$AZ$41+SUM(AQ$9:$AQ29)," ")</f>
        <v>6.6666666666748142E-3</v>
      </c>
      <c r="BH29" s="144">
        <f t="shared" si="23"/>
        <v>1</v>
      </c>
      <c r="BI29" s="146">
        <f t="shared" si="24"/>
        <v>0</v>
      </c>
      <c r="BJ29" s="146">
        <f t="shared" si="25"/>
        <v>6.6666666666748142E-3</v>
      </c>
      <c r="BK29" s="146">
        <f t="shared" si="26"/>
        <v>4.0000000000048885E-3</v>
      </c>
      <c r="BL29" s="164">
        <f>IF(BN29=2,+BK29+BI29,"")</f>
        <v>4.0000000000048885E-3</v>
      </c>
      <c r="BM29" s="157">
        <f>+P29</f>
        <v>7.0419999999999998</v>
      </c>
      <c r="BN29">
        <f t="shared" si="13"/>
        <v>2</v>
      </c>
    </row>
    <row r="30" spans="1:66" ht="15.95" customHeight="1" x14ac:dyDescent="0.25">
      <c r="A30" s="83"/>
      <c r="B30" s="79">
        <f>IF($I30&lt;&gt;"",IF(WEEKDAY($I30,2)&lt;6,IF(VLOOKUP(WEEKDAY($I30,2),InputUge,3)&gt;0,IF($A30="",VLOOKUP(WEEKDAY($I30,2),InputUge,3)+MAX(B$8:B29),IF($A30&lt;VLOOKUP(WEEKDAY($I30,2),InputUge,3),$A30+MAX(B$8:B29),VLOOKUP(WEEKDAY($I30,2),InputUge,3)+MAX(B$8:B29))),""),""),"")</f>
        <v>120.42999999999999</v>
      </c>
      <c r="C30" s="144">
        <f t="shared" si="14"/>
        <v>1</v>
      </c>
      <c r="D30" s="146">
        <f t="shared" si="15"/>
        <v>120</v>
      </c>
      <c r="E30" s="146">
        <f t="shared" si="16"/>
        <v>0.42999999999999261</v>
      </c>
      <c r="F30" s="146">
        <f t="shared" si="17"/>
        <v>0.25799999999999557</v>
      </c>
      <c r="G30" s="261">
        <f t="shared" si="18"/>
        <v>120.258</v>
      </c>
      <c r="H30" s="4">
        <v>22</v>
      </c>
      <c r="I30" s="16">
        <f t="shared" si="19"/>
        <v>41508</v>
      </c>
      <c r="J30" s="6">
        <v>0.34791666666666665</v>
      </c>
      <c r="K30" s="6">
        <v>0.73958333333333337</v>
      </c>
      <c r="L30" s="5">
        <f>IF(K30&gt;0,ROUND(((K30-J30)*24)-SUM(BR30:BS30)+BT30,2)+IF(Fredagsfrokost="n",IF(WEEKDAY($I30,2)=5,IF(K30&gt;=0.5,IF(K30&lt;=13/24,0,0),0),0),0),IF(AW30&gt;0,AW30,""))</f>
        <v>9.4</v>
      </c>
      <c r="M30" s="141">
        <f>FLOOR(L30,1)</f>
        <v>9</v>
      </c>
      <c r="N30" s="141">
        <f>+L30-M30</f>
        <v>0.40000000000000036</v>
      </c>
      <c r="O30" s="141">
        <f>+N30/100*60</f>
        <v>0.24000000000000021</v>
      </c>
      <c r="P30" s="162">
        <f>IF(J30="","",O30+M30)</f>
        <v>9.24</v>
      </c>
      <c r="Q30" s="591"/>
      <c r="R30" s="592"/>
      <c r="S30" s="592"/>
      <c r="T30" s="593"/>
      <c r="U30" s="417"/>
      <c r="V30" s="240">
        <f t="shared" si="4"/>
        <v>0</v>
      </c>
      <c r="W30" s="240">
        <f t="shared" si="29"/>
        <v>0</v>
      </c>
      <c r="X30" s="240">
        <f t="shared" si="6"/>
        <v>0</v>
      </c>
      <c r="Y30" s="242">
        <f t="shared" si="20"/>
        <v>0</v>
      </c>
      <c r="Z30" s="417"/>
      <c r="AA30" s="417"/>
      <c r="AB30" s="417"/>
      <c r="AC30" s="417"/>
      <c r="AD30" s="417"/>
      <c r="AE30" s="240">
        <f t="shared" si="7"/>
        <v>0</v>
      </c>
      <c r="AF30" s="240">
        <f t="shared" si="8"/>
        <v>0</v>
      </c>
      <c r="AG30" s="240">
        <f t="shared" si="9"/>
        <v>0</v>
      </c>
      <c r="AH30" s="242">
        <f t="shared" si="21"/>
        <v>0</v>
      </c>
      <c r="AI30" s="417"/>
      <c r="AJ30" s="417"/>
      <c r="AK30" s="417"/>
      <c r="AL30" s="417"/>
      <c r="AM30" s="472"/>
      <c r="AN30" s="240">
        <f t="shared" si="10"/>
        <v>0</v>
      </c>
      <c r="AO30" s="240">
        <f t="shared" si="11"/>
        <v>0</v>
      </c>
      <c r="AP30" s="240">
        <f t="shared" si="12"/>
        <v>0</v>
      </c>
      <c r="AQ30" s="242">
        <f t="shared" si="22"/>
        <v>0</v>
      </c>
      <c r="AR30" s="245"/>
      <c r="AS30" s="245"/>
      <c r="AT30" s="245"/>
      <c r="AU30" s="420"/>
      <c r="AZ30" s="189"/>
      <c r="BA30" s="189"/>
      <c r="BB30" s="189"/>
      <c r="BC30" s="189"/>
      <c r="BD30" s="189"/>
      <c r="BE30" s="189"/>
      <c r="BG30" s="145">
        <f>IF($K30&gt;=0,+SUM(L$9:$L30)-$B30+Aug!$AZ$41+SUM(AQ$9:$AQ30)," ")</f>
        <v>-3.3333333333160908E-3</v>
      </c>
      <c r="BH30" s="144">
        <f t="shared" si="23"/>
        <v>-1</v>
      </c>
      <c r="BI30" s="146">
        <f>FLOOR(BG30,BH30)</f>
        <v>0</v>
      </c>
      <c r="BJ30" s="146">
        <f>+BG30-BI30</f>
        <v>-3.3333333333160908E-3</v>
      </c>
      <c r="BK30" s="146">
        <f t="shared" si="26"/>
        <v>-1.9999999999896542E-3</v>
      </c>
      <c r="BL30" s="164">
        <f>IF(BN30=2,+BK30+BI30,"")</f>
        <v>-1.9999999999896542E-3</v>
      </c>
      <c r="BM30" s="157">
        <f>+P30</f>
        <v>9.24</v>
      </c>
      <c r="BN30">
        <f t="shared" si="13"/>
        <v>2</v>
      </c>
    </row>
    <row r="31" spans="1:66" ht="15.95" customHeight="1" x14ac:dyDescent="0.25">
      <c r="A31" s="83"/>
      <c r="B31" s="79">
        <f>IF($I31&lt;&gt;"",IF(WEEKDAY($I31,2)&lt;6,IF(VLOOKUP(WEEKDAY($I31,2),InputUge,3)&gt;0,IF($A31="",VLOOKUP(WEEKDAY($I31,2),InputUge,3)+MAX(B$8:B30),IF($A31&lt;VLOOKUP(WEEKDAY($I31,2),InputUge,3),$A31+MAX(B$8:B30),VLOOKUP(WEEKDAY($I31,2),InputUge,3)+MAX(B$8:B30))),""),""),"")</f>
        <v>126.83</v>
      </c>
      <c r="C31" s="144">
        <f t="shared" si="14"/>
        <v>1</v>
      </c>
      <c r="D31" s="146">
        <f t="shared" si="15"/>
        <v>126</v>
      </c>
      <c r="E31" s="146">
        <f t="shared" si="16"/>
        <v>0.82999999999999829</v>
      </c>
      <c r="F31" s="146">
        <f t="shared" si="17"/>
        <v>0.49799999999999894</v>
      </c>
      <c r="G31" s="261">
        <f t="shared" si="18"/>
        <v>126.498</v>
      </c>
      <c r="H31" s="4">
        <v>23</v>
      </c>
      <c r="I31" s="16">
        <f t="shared" si="19"/>
        <v>41509</v>
      </c>
      <c r="J31" s="6">
        <v>0.34791666666666665</v>
      </c>
      <c r="K31" s="6">
        <v>0.61458333333333337</v>
      </c>
      <c r="L31" s="5">
        <f>IF(K31&gt;0,ROUND(((K31-J31)*24)-SUM(BR31:BS31)+BT31,2)+IF(Fredagsfrokost="n",IF(WEEKDAY($I31,2)=5,IF(K31&gt;=0.5,IF(K31&lt;=13/24,0,0),0),0),0),IF(AW31&gt;0,AW31,""))</f>
        <v>6.4</v>
      </c>
      <c r="M31" s="141">
        <f>FLOOR(L31,1)</f>
        <v>6</v>
      </c>
      <c r="N31" s="141">
        <f>+L31-M31</f>
        <v>0.40000000000000036</v>
      </c>
      <c r="O31" s="141">
        <f>+N31/100*60</f>
        <v>0.24000000000000021</v>
      </c>
      <c r="P31" s="162">
        <f>IF(J31="","",O31+M31)</f>
        <v>6.24</v>
      </c>
      <c r="Q31" s="591"/>
      <c r="R31" s="592"/>
      <c r="S31" s="592"/>
      <c r="T31" s="593"/>
      <c r="U31" s="417"/>
      <c r="V31" s="240">
        <f t="shared" si="4"/>
        <v>0</v>
      </c>
      <c r="W31" s="240">
        <f t="shared" si="29"/>
        <v>0</v>
      </c>
      <c r="X31" s="240">
        <f t="shared" si="6"/>
        <v>0</v>
      </c>
      <c r="Y31" s="242">
        <f t="shared" si="20"/>
        <v>0</v>
      </c>
      <c r="Z31" s="417"/>
      <c r="AA31" s="417"/>
      <c r="AB31" s="417"/>
      <c r="AC31" s="417"/>
      <c r="AD31" s="417"/>
      <c r="AE31" s="240">
        <f t="shared" ref="AE31:AE39" si="30">FLOOR(AD40,1)</f>
        <v>0</v>
      </c>
      <c r="AF31" s="240">
        <f t="shared" ref="AF31:AF39" si="31">+AD40-AE31</f>
        <v>0</v>
      </c>
      <c r="AG31" s="240">
        <f t="shared" si="9"/>
        <v>0</v>
      </c>
      <c r="AH31" s="242">
        <f t="shared" ref="AH31:AH39" si="32">+AG31+AE31</f>
        <v>0</v>
      </c>
      <c r="AI31" s="417"/>
      <c r="AJ31" s="417"/>
      <c r="AK31" s="417"/>
      <c r="AL31" s="417"/>
      <c r="AM31" s="472"/>
      <c r="AN31" s="240">
        <f t="shared" si="10"/>
        <v>0</v>
      </c>
      <c r="AO31" s="240">
        <f t="shared" si="11"/>
        <v>0</v>
      </c>
      <c r="AP31" s="240">
        <f t="shared" si="12"/>
        <v>0</v>
      </c>
      <c r="AQ31" s="242">
        <f t="shared" si="22"/>
        <v>0</v>
      </c>
      <c r="AR31" s="245"/>
      <c r="AS31" s="245"/>
      <c r="AT31" s="245"/>
      <c r="AU31" s="420"/>
      <c r="AZ31" s="189"/>
      <c r="BA31" s="189"/>
      <c r="BB31" s="189"/>
      <c r="BC31" s="189"/>
      <c r="BD31" s="189"/>
      <c r="BE31" s="189"/>
      <c r="BG31" s="145">
        <f>IF($K31&gt;=0,+SUM(L$9:$L31)-$B31+Aug!$AZ$41+SUM(AQ$9:$AQ31)," ")</f>
        <v>-3.3333333333160908E-3</v>
      </c>
      <c r="BH31" s="144">
        <f t="shared" si="23"/>
        <v>-1</v>
      </c>
      <c r="BI31" s="146">
        <f t="shared" si="24"/>
        <v>0</v>
      </c>
      <c r="BJ31" s="146">
        <f t="shared" si="25"/>
        <v>-3.3333333333160908E-3</v>
      </c>
      <c r="BK31" s="146">
        <f t="shared" si="26"/>
        <v>-1.9999999999896542E-3</v>
      </c>
      <c r="BL31" s="164">
        <f t="shared" si="27"/>
        <v>-1.9999999999896542E-3</v>
      </c>
      <c r="BM31" s="157">
        <f t="shared" si="28"/>
        <v>6.24</v>
      </c>
      <c r="BN31">
        <f t="shared" si="13"/>
        <v>2</v>
      </c>
    </row>
    <row r="32" spans="1:66" ht="15.95" customHeight="1" x14ac:dyDescent="0.25">
      <c r="A32" s="83"/>
      <c r="B32" s="79" t="str">
        <f>IF($I32&lt;&gt;"",IF(WEEKDAY($I32,2)&lt;6,IF(VLOOKUP(WEEKDAY($I32,2),InputUge,3)&gt;0,IF($A32="",VLOOKUP(WEEKDAY($I32,2),InputUge,3)+MAX(B$8:B31),IF($A32&lt;VLOOKUP(WEEKDAY($I32,2),InputUge,3),$A32+MAX(B$8:B31),VLOOKUP(WEEKDAY($I32,2),InputUge,3)+MAX(B$8:B31))),""),""),"")</f>
        <v/>
      </c>
      <c r="C32" s="144">
        <f t="shared" si="14"/>
        <v>1</v>
      </c>
      <c r="D32" s="146" t="e">
        <f t="shared" si="15"/>
        <v>#VALUE!</v>
      </c>
      <c r="E32" s="146" t="e">
        <f t="shared" si="16"/>
        <v>#VALUE!</v>
      </c>
      <c r="F32" s="146" t="e">
        <f t="shared" si="17"/>
        <v>#VALUE!</v>
      </c>
      <c r="G32" s="261"/>
      <c r="H32" s="4">
        <v>24</v>
      </c>
      <c r="I32" s="16">
        <f t="shared" si="19"/>
        <v>41510</v>
      </c>
      <c r="J32" s="6"/>
      <c r="K32" s="6"/>
      <c r="L32" s="5"/>
      <c r="M32" s="141"/>
      <c r="N32" s="141"/>
      <c r="O32" s="141"/>
      <c r="P32" s="162"/>
      <c r="Q32" s="591"/>
      <c r="R32" s="592"/>
      <c r="S32" s="592"/>
      <c r="T32" s="593"/>
      <c r="U32" s="417"/>
      <c r="V32" s="240">
        <f t="shared" si="4"/>
        <v>0</v>
      </c>
      <c r="W32" s="240">
        <f t="shared" si="29"/>
        <v>0</v>
      </c>
      <c r="X32" s="240">
        <f t="shared" si="6"/>
        <v>0</v>
      </c>
      <c r="Y32" s="242">
        <f t="shared" si="20"/>
        <v>0</v>
      </c>
      <c r="Z32" s="417"/>
      <c r="AA32" s="417"/>
      <c r="AB32" s="417"/>
      <c r="AC32" s="417"/>
      <c r="AD32" s="417"/>
      <c r="AE32" s="240">
        <f t="shared" si="30"/>
        <v>0</v>
      </c>
      <c r="AF32" s="240">
        <f t="shared" si="31"/>
        <v>0</v>
      </c>
      <c r="AG32" s="240">
        <f t="shared" si="9"/>
        <v>0</v>
      </c>
      <c r="AH32" s="242">
        <f t="shared" si="32"/>
        <v>0</v>
      </c>
      <c r="AI32" s="417"/>
      <c r="AJ32" s="417"/>
      <c r="AK32" s="417"/>
      <c r="AL32" s="417"/>
      <c r="AM32" s="472"/>
      <c r="AN32" s="240">
        <f t="shared" si="10"/>
        <v>0</v>
      </c>
      <c r="AO32" s="240">
        <f t="shared" si="11"/>
        <v>0</v>
      </c>
      <c r="AP32" s="240">
        <f t="shared" si="12"/>
        <v>0</v>
      </c>
      <c r="AQ32" s="242">
        <f t="shared" si="22"/>
        <v>0</v>
      </c>
      <c r="AR32" s="245"/>
      <c r="AS32" s="245"/>
      <c r="AT32" s="245"/>
      <c r="AU32" s="420"/>
      <c r="AZ32" s="189"/>
      <c r="BA32" s="189"/>
      <c r="BB32" s="189"/>
      <c r="BC32" s="189"/>
      <c r="BD32" s="189"/>
      <c r="BE32" s="189"/>
      <c r="BG32" s="145" t="e">
        <f>IF($K32&gt;=0,+SUM(L$9:$L32)-$B32+Aug!$AZ$41+SUM(AQ$9:$AQ32)," ")</f>
        <v>#VALUE!</v>
      </c>
      <c r="BH32" s="144" t="e">
        <f t="shared" si="23"/>
        <v>#VALUE!</v>
      </c>
      <c r="BI32" s="146" t="e">
        <f t="shared" si="24"/>
        <v>#VALUE!</v>
      </c>
      <c r="BJ32" s="146" t="e">
        <f t="shared" si="25"/>
        <v>#VALUE!</v>
      </c>
      <c r="BK32" s="146" t="e">
        <f t="shared" si="26"/>
        <v>#VALUE!</v>
      </c>
      <c r="BL32" s="164"/>
      <c r="BM32" s="157">
        <f t="shared" si="28"/>
        <v>0</v>
      </c>
      <c r="BN32">
        <f t="shared" si="13"/>
        <v>2</v>
      </c>
    </row>
    <row r="33" spans="1:67" ht="15.95" customHeight="1" x14ac:dyDescent="0.25">
      <c r="A33" s="83"/>
      <c r="B33" s="79" t="str">
        <f>IF($I33&lt;&gt;"",IF(WEEKDAY($I33,2)&lt;6,IF(VLOOKUP(WEEKDAY($I33,2),InputUge,3)&gt;0,IF($A33="",VLOOKUP(WEEKDAY($I33,2),InputUge,3)+MAX(B$8:B32),IF($A33&lt;VLOOKUP(WEEKDAY($I33,2),InputUge,3),$A33+MAX(B$8:B32),VLOOKUP(WEEKDAY($I33,2),InputUge,3)+MAX(B$8:B32))),""),""),"")</f>
        <v/>
      </c>
      <c r="C33" s="144">
        <f t="shared" si="14"/>
        <v>1</v>
      </c>
      <c r="D33" s="146" t="e">
        <f t="shared" si="15"/>
        <v>#VALUE!</v>
      </c>
      <c r="E33" s="146" t="e">
        <f t="shared" si="16"/>
        <v>#VALUE!</v>
      </c>
      <c r="F33" s="146" t="e">
        <f t="shared" si="17"/>
        <v>#VALUE!</v>
      </c>
      <c r="G33" s="261"/>
      <c r="H33" s="4">
        <v>25</v>
      </c>
      <c r="I33" s="16">
        <f t="shared" si="19"/>
        <v>41511</v>
      </c>
      <c r="J33" s="6"/>
      <c r="K33" s="6"/>
      <c r="L33" s="5"/>
      <c r="M33" s="141">
        <f t="shared" si="0"/>
        <v>0</v>
      </c>
      <c r="N33" s="141">
        <f t="shared" si="1"/>
        <v>0</v>
      </c>
      <c r="O33" s="141">
        <f t="shared" si="2"/>
        <v>0</v>
      </c>
      <c r="P33" s="141" t="str">
        <f t="shared" si="3"/>
        <v/>
      </c>
      <c r="Q33" s="591"/>
      <c r="R33" s="592"/>
      <c r="S33" s="592"/>
      <c r="T33" s="593"/>
      <c r="U33" s="417"/>
      <c r="V33" s="240">
        <f t="shared" si="4"/>
        <v>0</v>
      </c>
      <c r="W33" s="240">
        <f t="shared" si="29"/>
        <v>0</v>
      </c>
      <c r="X33" s="240">
        <f t="shared" si="6"/>
        <v>0</v>
      </c>
      <c r="Y33" s="242">
        <f t="shared" si="20"/>
        <v>0</v>
      </c>
      <c r="Z33" s="417"/>
      <c r="AA33" s="417"/>
      <c r="AB33" s="417"/>
      <c r="AC33" s="417"/>
      <c r="AD33" s="417"/>
      <c r="AE33" s="240">
        <f t="shared" si="30"/>
        <v>0</v>
      </c>
      <c r="AF33" s="240">
        <f t="shared" si="31"/>
        <v>0</v>
      </c>
      <c r="AG33" s="240">
        <f t="shared" si="9"/>
        <v>0</v>
      </c>
      <c r="AH33" s="242">
        <f t="shared" si="32"/>
        <v>0</v>
      </c>
      <c r="AI33" s="417"/>
      <c r="AJ33" s="417"/>
      <c r="AK33" s="417"/>
      <c r="AL33" s="417"/>
      <c r="AM33" s="472"/>
      <c r="AN33" s="240">
        <f t="shared" si="10"/>
        <v>0</v>
      </c>
      <c r="AO33" s="240">
        <f t="shared" si="11"/>
        <v>0</v>
      </c>
      <c r="AP33" s="240">
        <f t="shared" si="12"/>
        <v>0</v>
      </c>
      <c r="AQ33" s="242">
        <f t="shared" si="22"/>
        <v>0</v>
      </c>
      <c r="AR33" s="245"/>
      <c r="AS33" s="245"/>
      <c r="AT33" s="245"/>
      <c r="AU33" s="420"/>
      <c r="AZ33" s="189"/>
      <c r="BA33" s="189"/>
      <c r="BB33" s="189"/>
      <c r="BC33" s="189"/>
      <c r="BD33" s="189"/>
      <c r="BE33" s="189"/>
      <c r="BG33" s="145" t="e">
        <f>IF($K33&gt;=0,+SUM(L$9:$L33)-$B33+Aug!$AZ$41+SUM(AQ$9:$AQ33)," ")</f>
        <v>#VALUE!</v>
      </c>
      <c r="BH33" s="144" t="e">
        <f t="shared" si="23"/>
        <v>#VALUE!</v>
      </c>
      <c r="BI33" s="146" t="e">
        <f t="shared" si="24"/>
        <v>#VALUE!</v>
      </c>
      <c r="BJ33" s="146" t="e">
        <f t="shared" si="25"/>
        <v>#VALUE!</v>
      </c>
      <c r="BK33" s="146" t="e">
        <f t="shared" si="26"/>
        <v>#VALUE!</v>
      </c>
      <c r="BL33" s="164" t="str">
        <f t="shared" si="27"/>
        <v/>
      </c>
      <c r="BM33" s="157" t="str">
        <f t="shared" si="28"/>
        <v/>
      </c>
      <c r="BN33">
        <f t="shared" si="13"/>
        <v>1</v>
      </c>
    </row>
    <row r="34" spans="1:67" ht="15.95" customHeight="1" x14ac:dyDescent="0.25">
      <c r="A34" s="83"/>
      <c r="B34" s="79">
        <f>IF($I34&lt;&gt;"",IF(WEEKDAY($I34,2)&lt;6,IF(VLOOKUP(WEEKDAY($I34,2),InputUge,3)&gt;0,IF($A34="",VLOOKUP(WEEKDAY($I34,2),InputUge,3)+MAX(B$8:B33),IF($A34&lt;VLOOKUP(WEEKDAY($I34,2),InputUge,3),$A34+MAX(B$8:B33),VLOOKUP(WEEKDAY($I34,2),InputUge,3)+MAX(B$8:B33))),""),""),"")</f>
        <v>133.89333333333335</v>
      </c>
      <c r="C34" s="144">
        <f t="shared" si="14"/>
        <v>1</v>
      </c>
      <c r="D34" s="146">
        <f t="shared" si="15"/>
        <v>133</v>
      </c>
      <c r="E34" s="146">
        <f t="shared" si="16"/>
        <v>0.89333333333334508</v>
      </c>
      <c r="F34" s="146">
        <f t="shared" si="17"/>
        <v>0.53600000000000703</v>
      </c>
      <c r="G34" s="261">
        <f t="shared" si="18"/>
        <v>133.536</v>
      </c>
      <c r="H34" s="4">
        <v>26</v>
      </c>
      <c r="I34" s="16">
        <f t="shared" si="19"/>
        <v>41512</v>
      </c>
      <c r="J34" s="6">
        <v>0.34826388888888887</v>
      </c>
      <c r="K34" s="6">
        <v>0.64236111111111105</v>
      </c>
      <c r="L34" s="5">
        <f t="shared" ref="L34:L39" si="33">IF(K34&gt;0,ROUND(((K34-J34)*24)-SUM(BR34:BS34)+BT34,2)+IF(Fredagsfrokost="n",IF(WEEKDAY($I34,2)=5,IF(K34&gt;=0.5,IF(K34&lt;=13/24,0,0),0),0),0),IF(AW34&gt;0,AW34,""))</f>
        <v>7.06</v>
      </c>
      <c r="M34" s="141">
        <f t="shared" si="0"/>
        <v>7</v>
      </c>
      <c r="N34" s="141">
        <f t="shared" si="1"/>
        <v>5.9999999999999609E-2</v>
      </c>
      <c r="O34" s="141">
        <f t="shared" si="2"/>
        <v>3.5999999999999761E-2</v>
      </c>
      <c r="P34" s="162">
        <f t="shared" si="3"/>
        <v>7.0359999999999996</v>
      </c>
      <c r="Q34" s="591"/>
      <c r="R34" s="592"/>
      <c r="S34" s="592"/>
      <c r="T34" s="593"/>
      <c r="U34" s="417"/>
      <c r="V34" s="240">
        <f t="shared" si="4"/>
        <v>0</v>
      </c>
      <c r="W34" s="240">
        <f t="shared" ref="W34:W39" si="34">+U34-V34</f>
        <v>0</v>
      </c>
      <c r="X34" s="240">
        <f t="shared" si="6"/>
        <v>0</v>
      </c>
      <c r="Y34" s="242">
        <f t="shared" si="20"/>
        <v>0</v>
      </c>
      <c r="Z34" s="417"/>
      <c r="AA34" s="417"/>
      <c r="AB34" s="417"/>
      <c r="AC34" s="417"/>
      <c r="AD34" s="417"/>
      <c r="AE34" s="240">
        <f t="shared" si="30"/>
        <v>0</v>
      </c>
      <c r="AF34" s="240">
        <f t="shared" si="31"/>
        <v>0</v>
      </c>
      <c r="AG34" s="240">
        <f t="shared" si="9"/>
        <v>0</v>
      </c>
      <c r="AH34" s="242">
        <f t="shared" si="32"/>
        <v>0</v>
      </c>
      <c r="AI34" s="417"/>
      <c r="AJ34" s="417"/>
      <c r="AK34" s="417"/>
      <c r="AL34" s="417"/>
      <c r="AM34" s="472"/>
      <c r="AN34" s="240">
        <f t="shared" si="10"/>
        <v>0</v>
      </c>
      <c r="AO34" s="240">
        <f t="shared" si="11"/>
        <v>0</v>
      </c>
      <c r="AP34" s="240">
        <f t="shared" si="12"/>
        <v>0</v>
      </c>
      <c r="AQ34" s="242">
        <f t="shared" si="22"/>
        <v>0</v>
      </c>
      <c r="AR34" s="245"/>
      <c r="AS34" s="245"/>
      <c r="AT34" s="245"/>
      <c r="AU34" s="420"/>
      <c r="AZ34" s="189"/>
      <c r="BA34" s="189"/>
      <c r="BB34" s="189"/>
      <c r="BC34" s="189"/>
      <c r="BD34" s="189"/>
      <c r="BE34" s="189"/>
      <c r="BG34" s="145">
        <f>IF($K34&gt;=0,+SUM(L$9:$L34)-$B34+Aug!$AZ$41+SUM(AQ$9:$AQ34)," ")</f>
        <v>-6.6666666666606034E-3</v>
      </c>
      <c r="BH34" s="144">
        <f t="shared" si="23"/>
        <v>-1</v>
      </c>
      <c r="BI34" s="146">
        <f t="shared" si="24"/>
        <v>0</v>
      </c>
      <c r="BJ34" s="146">
        <f t="shared" si="25"/>
        <v>-6.6666666666606034E-3</v>
      </c>
      <c r="BK34" s="146">
        <f t="shared" si="26"/>
        <v>-3.9999999999963624E-3</v>
      </c>
      <c r="BL34" s="164">
        <f t="shared" si="27"/>
        <v>-3.9999999999963624E-3</v>
      </c>
      <c r="BM34" s="157">
        <f t="shared" si="28"/>
        <v>7.0359999999999996</v>
      </c>
      <c r="BN34">
        <f t="shared" si="13"/>
        <v>2</v>
      </c>
    </row>
    <row r="35" spans="1:67" ht="15.95" customHeight="1" x14ac:dyDescent="0.25">
      <c r="A35" s="83"/>
      <c r="B35" s="79">
        <f>IF($I35&lt;&gt;"",IF(WEEKDAY($I35,2)&lt;6,IF(VLOOKUP(WEEKDAY($I35,2),InputUge,3)&gt;0,IF($A35="",VLOOKUP(WEEKDAY($I35,2),InputUge,3)+MAX(B$8:B34),IF($A35&lt;VLOOKUP(WEEKDAY($I35,2),InputUge,3),$A35+MAX(B$8:B34),VLOOKUP(WEEKDAY($I35,2),InputUge,3)+MAX(B$8:B34))),""),""),"")</f>
        <v>140.96</v>
      </c>
      <c r="C35" s="144">
        <f t="shared" si="14"/>
        <v>1</v>
      </c>
      <c r="D35" s="146">
        <f t="shared" si="15"/>
        <v>140</v>
      </c>
      <c r="E35" s="146">
        <f t="shared" si="16"/>
        <v>0.96000000000000796</v>
      </c>
      <c r="F35" s="146">
        <f t="shared" si="17"/>
        <v>0.57600000000000473</v>
      </c>
      <c r="G35" s="261">
        <f t="shared" si="18"/>
        <v>140.57599999999999</v>
      </c>
      <c r="H35" s="4">
        <v>27</v>
      </c>
      <c r="I35" s="16">
        <f t="shared" si="19"/>
        <v>41513</v>
      </c>
      <c r="J35" s="6">
        <v>0.34791666666666665</v>
      </c>
      <c r="K35" s="6">
        <v>0.64236111111111105</v>
      </c>
      <c r="L35" s="5">
        <f t="shared" si="33"/>
        <v>7.07</v>
      </c>
      <c r="M35" s="141">
        <f t="shared" si="0"/>
        <v>7</v>
      </c>
      <c r="N35" s="141">
        <f t="shared" si="1"/>
        <v>7.0000000000000284E-2</v>
      </c>
      <c r="O35" s="141">
        <f t="shared" si="2"/>
        <v>4.2000000000000169E-2</v>
      </c>
      <c r="P35" s="162">
        <f t="shared" si="3"/>
        <v>7.0419999999999998</v>
      </c>
      <c r="Q35" s="591"/>
      <c r="R35" s="592"/>
      <c r="S35" s="592"/>
      <c r="T35" s="593"/>
      <c r="U35" s="417"/>
      <c r="V35" s="240">
        <f t="shared" si="4"/>
        <v>0</v>
      </c>
      <c r="W35" s="240">
        <f t="shared" si="34"/>
        <v>0</v>
      </c>
      <c r="X35" s="240">
        <f t="shared" si="6"/>
        <v>0</v>
      </c>
      <c r="Y35" s="242">
        <f t="shared" si="20"/>
        <v>0</v>
      </c>
      <c r="Z35" s="417"/>
      <c r="AA35" s="417"/>
      <c r="AB35" s="417"/>
      <c r="AC35" s="417"/>
      <c r="AD35" s="417"/>
      <c r="AE35" s="240">
        <f t="shared" si="30"/>
        <v>0</v>
      </c>
      <c r="AF35" s="240">
        <f t="shared" si="31"/>
        <v>0</v>
      </c>
      <c r="AG35" s="240">
        <f t="shared" si="9"/>
        <v>0</v>
      </c>
      <c r="AH35" s="242">
        <f t="shared" si="32"/>
        <v>0</v>
      </c>
      <c r="AI35" s="417"/>
      <c r="AJ35" s="417"/>
      <c r="AK35" s="417"/>
      <c r="AL35" s="417"/>
      <c r="AM35" s="472"/>
      <c r="AN35" s="240">
        <f t="shared" si="10"/>
        <v>0</v>
      </c>
      <c r="AO35" s="240">
        <f t="shared" si="11"/>
        <v>0</v>
      </c>
      <c r="AP35" s="240">
        <f t="shared" si="12"/>
        <v>0</v>
      </c>
      <c r="AQ35" s="242">
        <f t="shared" si="22"/>
        <v>0</v>
      </c>
      <c r="AR35" s="245"/>
      <c r="AS35" s="245"/>
      <c r="AT35" s="245"/>
      <c r="AU35" s="420"/>
      <c r="AZ35" s="189"/>
      <c r="BA35" s="189"/>
      <c r="BB35" s="189"/>
      <c r="BC35" s="189"/>
      <c r="BD35" s="189"/>
      <c r="BE35" s="189"/>
      <c r="BG35" s="145">
        <f>IF($K35&gt;=0,+SUM(L$9:$L35)-$B35+Aug!$AZ$41+SUM(AQ$9:$AQ35)," ")</f>
        <v>-3.3333333333303017E-3</v>
      </c>
      <c r="BH35" s="144">
        <f t="shared" si="23"/>
        <v>-1</v>
      </c>
      <c r="BI35" s="146">
        <f t="shared" si="24"/>
        <v>0</v>
      </c>
      <c r="BJ35" s="146">
        <f t="shared" si="25"/>
        <v>-3.3333333333303017E-3</v>
      </c>
      <c r="BK35" s="146">
        <f t="shared" si="26"/>
        <v>-1.9999999999981812E-3</v>
      </c>
      <c r="BL35" s="164">
        <f t="shared" si="27"/>
        <v>-1.9999999999981812E-3</v>
      </c>
      <c r="BM35" s="157">
        <f t="shared" si="28"/>
        <v>7.0419999999999998</v>
      </c>
      <c r="BN35">
        <f t="shared" si="13"/>
        <v>2</v>
      </c>
    </row>
    <row r="36" spans="1:67" ht="15.95" customHeight="1" x14ac:dyDescent="0.25">
      <c r="A36" s="83"/>
      <c r="B36" s="79">
        <f>IF($I36&lt;&gt;"",IF(WEEKDAY($I36,2)&lt;6,IF(VLOOKUP(WEEKDAY($I36,2),InputUge,3)&gt;0,IF($A36="",VLOOKUP(WEEKDAY($I36,2),InputUge,3)+MAX(B$8:B35),IF($A36&lt;VLOOKUP(WEEKDAY($I36,2),InputUge,3),$A36+MAX(B$8:B35),VLOOKUP(WEEKDAY($I36,2),InputUge,3)+MAX(B$8:B35))),""),""),"")</f>
        <v>148.02666666666667</v>
      </c>
      <c r="C36" s="144">
        <f t="shared" si="14"/>
        <v>1</v>
      </c>
      <c r="D36" s="146">
        <f t="shared" si="15"/>
        <v>148</v>
      </c>
      <c r="E36" s="146">
        <f t="shared" si="16"/>
        <v>2.6666666666670835E-2</v>
      </c>
      <c r="F36" s="146">
        <f t="shared" si="17"/>
        <v>1.6000000000002502E-2</v>
      </c>
      <c r="G36" s="261">
        <f t="shared" si="18"/>
        <v>148.01599999999999</v>
      </c>
      <c r="H36" s="4">
        <v>28</v>
      </c>
      <c r="I36" s="16">
        <f t="shared" si="19"/>
        <v>41514</v>
      </c>
      <c r="J36" s="6">
        <v>0.34791666666666665</v>
      </c>
      <c r="K36" s="6">
        <v>0.64236111111111105</v>
      </c>
      <c r="L36" s="5">
        <f t="shared" si="33"/>
        <v>7.07</v>
      </c>
      <c r="M36" s="141">
        <f t="shared" si="0"/>
        <v>7</v>
      </c>
      <c r="N36" s="141">
        <f t="shared" si="1"/>
        <v>7.0000000000000284E-2</v>
      </c>
      <c r="O36" s="141">
        <f t="shared" si="2"/>
        <v>4.2000000000000169E-2</v>
      </c>
      <c r="P36" s="162">
        <f t="shared" si="3"/>
        <v>7.0419999999999998</v>
      </c>
      <c r="Q36" s="591"/>
      <c r="R36" s="592"/>
      <c r="S36" s="592"/>
      <c r="T36" s="593"/>
      <c r="U36" s="417"/>
      <c r="V36" s="240">
        <f t="shared" si="4"/>
        <v>0</v>
      </c>
      <c r="W36" s="240">
        <f t="shared" si="34"/>
        <v>0</v>
      </c>
      <c r="X36" s="240">
        <f t="shared" si="6"/>
        <v>0</v>
      </c>
      <c r="Y36" s="242">
        <f t="shared" si="20"/>
        <v>0</v>
      </c>
      <c r="Z36" s="417"/>
      <c r="AA36" s="417"/>
      <c r="AB36" s="417"/>
      <c r="AC36" s="417"/>
      <c r="AD36" s="417"/>
      <c r="AE36" s="240">
        <f t="shared" si="30"/>
        <v>0</v>
      </c>
      <c r="AF36" s="240">
        <f t="shared" si="31"/>
        <v>0</v>
      </c>
      <c r="AG36" s="240">
        <f t="shared" si="9"/>
        <v>0</v>
      </c>
      <c r="AH36" s="242">
        <f t="shared" si="32"/>
        <v>0</v>
      </c>
      <c r="AI36" s="417"/>
      <c r="AJ36" s="417"/>
      <c r="AK36" s="417"/>
      <c r="AL36" s="417"/>
      <c r="AM36" s="472"/>
      <c r="AN36" s="240">
        <f t="shared" si="10"/>
        <v>0</v>
      </c>
      <c r="AO36" s="240">
        <f t="shared" si="11"/>
        <v>0</v>
      </c>
      <c r="AP36" s="240">
        <f t="shared" si="12"/>
        <v>0</v>
      </c>
      <c r="AQ36" s="242">
        <f t="shared" si="22"/>
        <v>0</v>
      </c>
      <c r="AR36" s="245"/>
      <c r="AS36" s="245"/>
      <c r="AT36" s="245"/>
      <c r="AU36" s="420"/>
      <c r="AZ36" s="189"/>
      <c r="BA36" s="189"/>
      <c r="BB36" s="189"/>
      <c r="BC36" s="189"/>
      <c r="BD36" s="189"/>
      <c r="BE36" s="189"/>
      <c r="BG36" s="145">
        <f>IF($K36&gt;=0,+SUM(L$9:$L36)-$B36+Aug!$AZ$41+SUM(AQ$9:$AQ36)," ")</f>
        <v>0</v>
      </c>
      <c r="BH36" s="144">
        <f t="shared" si="23"/>
        <v>1</v>
      </c>
      <c r="BI36" s="146">
        <f t="shared" si="24"/>
        <v>0</v>
      </c>
      <c r="BJ36" s="146">
        <f t="shared" si="25"/>
        <v>0</v>
      </c>
      <c r="BK36" s="146">
        <f t="shared" si="26"/>
        <v>0</v>
      </c>
      <c r="BL36" s="164">
        <f t="shared" si="27"/>
        <v>0</v>
      </c>
      <c r="BM36" s="157">
        <f t="shared" si="28"/>
        <v>7.0419999999999998</v>
      </c>
      <c r="BN36">
        <f t="shared" si="13"/>
        <v>2</v>
      </c>
    </row>
    <row r="37" spans="1:67" ht="15.95" customHeight="1" x14ac:dyDescent="0.25">
      <c r="A37" s="83"/>
      <c r="B37" s="79">
        <f>IF($I37&lt;&gt;"",IF(WEEKDAY($I37,2)&lt;6,IF(VLOOKUP(WEEKDAY($I37,2),InputUge,3)&gt;0,IF($A37="",VLOOKUP(WEEKDAY($I37,2),InputUge,3)+MAX(B$8:B36),IF($A37&lt;VLOOKUP(WEEKDAY($I37,2),InputUge,3),$A37+MAX(B$8:B36),VLOOKUP(WEEKDAY($I37,2),InputUge,3)+MAX(B$8:B36))),""),""),"")</f>
        <v>157.43666666666667</v>
      </c>
      <c r="C37" s="144">
        <f t="shared" si="14"/>
        <v>1</v>
      </c>
      <c r="D37" s="146">
        <f t="shared" si="15"/>
        <v>157</v>
      </c>
      <c r="E37" s="146">
        <f t="shared" si="16"/>
        <v>0.43666666666666742</v>
      </c>
      <c r="F37" s="146">
        <f t="shared" si="17"/>
        <v>0.26200000000000045</v>
      </c>
      <c r="G37" s="261">
        <f t="shared" si="18"/>
        <v>157.262</v>
      </c>
      <c r="H37" s="4">
        <v>29</v>
      </c>
      <c r="I37" s="16">
        <f t="shared" si="19"/>
        <v>41515</v>
      </c>
      <c r="J37" s="6">
        <v>0.34791666666666665</v>
      </c>
      <c r="K37" s="6">
        <v>0.73981481481481481</v>
      </c>
      <c r="L37" s="5">
        <f t="shared" si="33"/>
        <v>9.41</v>
      </c>
      <c r="M37" s="141">
        <f t="shared" si="0"/>
        <v>9</v>
      </c>
      <c r="N37" s="141">
        <f t="shared" si="1"/>
        <v>0.41000000000000014</v>
      </c>
      <c r="O37" s="141">
        <f t="shared" si="2"/>
        <v>0.24600000000000008</v>
      </c>
      <c r="P37" s="162">
        <f t="shared" si="3"/>
        <v>9.2460000000000004</v>
      </c>
      <c r="Q37" s="591"/>
      <c r="R37" s="592"/>
      <c r="S37" s="592"/>
      <c r="T37" s="593"/>
      <c r="U37" s="417"/>
      <c r="V37" s="240">
        <f t="shared" si="4"/>
        <v>0</v>
      </c>
      <c r="W37" s="240">
        <f t="shared" si="34"/>
        <v>0</v>
      </c>
      <c r="X37" s="240">
        <f t="shared" si="6"/>
        <v>0</v>
      </c>
      <c r="Y37" s="242">
        <f t="shared" si="20"/>
        <v>0</v>
      </c>
      <c r="Z37" s="417"/>
      <c r="AA37" s="417"/>
      <c r="AB37" s="417"/>
      <c r="AC37" s="417"/>
      <c r="AD37" s="417"/>
      <c r="AE37" s="240">
        <f t="shared" si="30"/>
        <v>0</v>
      </c>
      <c r="AF37" s="240">
        <f t="shared" si="31"/>
        <v>0</v>
      </c>
      <c r="AG37" s="240">
        <f t="shared" si="9"/>
        <v>0</v>
      </c>
      <c r="AH37" s="242">
        <f t="shared" si="32"/>
        <v>0</v>
      </c>
      <c r="AI37" s="417"/>
      <c r="AJ37" s="417"/>
      <c r="AK37" s="417"/>
      <c r="AL37" s="417"/>
      <c r="AM37" s="472"/>
      <c r="AN37" s="240">
        <f t="shared" si="10"/>
        <v>0</v>
      </c>
      <c r="AO37" s="240">
        <f t="shared" si="11"/>
        <v>0</v>
      </c>
      <c r="AP37" s="240">
        <f t="shared" si="12"/>
        <v>0</v>
      </c>
      <c r="AQ37" s="242">
        <f t="shared" si="22"/>
        <v>0</v>
      </c>
      <c r="AR37" s="245"/>
      <c r="AS37" s="245"/>
      <c r="AT37" s="245"/>
      <c r="AU37" s="420"/>
      <c r="AZ37" s="189"/>
      <c r="BA37" s="189"/>
      <c r="BB37" s="189"/>
      <c r="BC37" s="189"/>
      <c r="BD37" s="189"/>
      <c r="BE37" s="189"/>
      <c r="BG37" s="145">
        <f>IF($K37&gt;=0,+SUM(L$9:$L37)-$B37+Aug!$AZ$41+SUM(AQ$9:$AQ37)," ")</f>
        <v>0</v>
      </c>
      <c r="BH37" s="144">
        <f t="shared" si="23"/>
        <v>1</v>
      </c>
      <c r="BI37" s="146">
        <f t="shared" si="24"/>
        <v>0</v>
      </c>
      <c r="BJ37" s="146">
        <f t="shared" si="25"/>
        <v>0</v>
      </c>
      <c r="BK37" s="146">
        <f t="shared" si="26"/>
        <v>0</v>
      </c>
      <c r="BL37" s="164">
        <f>IF(BN37=2,+BK37+BI37,"")</f>
        <v>0</v>
      </c>
      <c r="BM37" s="157">
        <f t="shared" si="28"/>
        <v>9.2460000000000004</v>
      </c>
      <c r="BN37">
        <f t="shared" si="13"/>
        <v>2</v>
      </c>
    </row>
    <row r="38" spans="1:67" ht="15.95" customHeight="1" x14ac:dyDescent="0.25">
      <c r="A38" s="83"/>
      <c r="B38" s="79">
        <f>IF($I38&lt;&gt;"",IF(WEEKDAY($I38,2)&lt;6,IF(VLOOKUP(WEEKDAY($I38,2),InputUge,3)&gt;0,IF($A38="",VLOOKUP(WEEKDAY($I38,2),InputUge,3)+MAX(B$8:B37),IF($A38&lt;VLOOKUP(WEEKDAY($I38,2),InputUge,3),$A38+MAX(B$8:B37),VLOOKUP(WEEKDAY($I38,2),InputUge,3)+MAX(B$8:B37))),""),""),"")</f>
        <v>163.83666666666667</v>
      </c>
      <c r="C38" s="144">
        <f t="shared" si="14"/>
        <v>1</v>
      </c>
      <c r="D38" s="146">
        <f t="shared" si="15"/>
        <v>163</v>
      </c>
      <c r="E38" s="146">
        <f t="shared" si="16"/>
        <v>0.83666666666667311</v>
      </c>
      <c r="F38" s="146">
        <f t="shared" si="17"/>
        <v>0.50200000000000378</v>
      </c>
      <c r="G38" s="261">
        <f t="shared" si="18"/>
        <v>163.50200000000001</v>
      </c>
      <c r="H38" s="4">
        <v>30</v>
      </c>
      <c r="I38" s="16">
        <f t="shared" si="19"/>
        <v>41516</v>
      </c>
      <c r="J38" s="6">
        <v>0.34791666666666665</v>
      </c>
      <c r="K38" s="6">
        <v>0.61458333333333337</v>
      </c>
      <c r="L38" s="5">
        <f t="shared" si="33"/>
        <v>6.4</v>
      </c>
      <c r="M38" s="141">
        <f t="shared" si="0"/>
        <v>6</v>
      </c>
      <c r="N38" s="141">
        <f t="shared" si="1"/>
        <v>0.40000000000000036</v>
      </c>
      <c r="O38" s="141">
        <f t="shared" si="2"/>
        <v>0.24000000000000021</v>
      </c>
      <c r="P38" s="162">
        <f t="shared" si="3"/>
        <v>6.24</v>
      </c>
      <c r="Q38" s="591"/>
      <c r="R38" s="592"/>
      <c r="S38" s="592"/>
      <c r="T38" s="593"/>
      <c r="U38" s="417"/>
      <c r="V38" s="240">
        <f t="shared" si="4"/>
        <v>0</v>
      </c>
      <c r="W38" s="240">
        <f t="shared" si="34"/>
        <v>0</v>
      </c>
      <c r="X38" s="240">
        <f t="shared" si="6"/>
        <v>0</v>
      </c>
      <c r="Y38" s="242">
        <f t="shared" si="20"/>
        <v>0</v>
      </c>
      <c r="Z38" s="417"/>
      <c r="AA38" s="417"/>
      <c r="AB38" s="417"/>
      <c r="AC38" s="417"/>
      <c r="AD38" s="417"/>
      <c r="AE38" s="240">
        <f t="shared" si="30"/>
        <v>0</v>
      </c>
      <c r="AF38" s="240">
        <f t="shared" si="31"/>
        <v>0</v>
      </c>
      <c r="AG38" s="240">
        <f t="shared" si="9"/>
        <v>0</v>
      </c>
      <c r="AH38" s="242">
        <f t="shared" si="32"/>
        <v>0</v>
      </c>
      <c r="AI38" s="417"/>
      <c r="AJ38" s="417"/>
      <c r="AK38" s="417"/>
      <c r="AL38" s="417"/>
      <c r="AM38" s="472"/>
      <c r="AN38" s="240">
        <f t="shared" si="10"/>
        <v>0</v>
      </c>
      <c r="AO38" s="240">
        <f t="shared" si="11"/>
        <v>0</v>
      </c>
      <c r="AP38" s="240">
        <f t="shared" si="12"/>
        <v>0</v>
      </c>
      <c r="AQ38" s="242">
        <f t="shared" si="22"/>
        <v>0</v>
      </c>
      <c r="AR38" s="245"/>
      <c r="AS38" s="245"/>
      <c r="AT38" s="245"/>
      <c r="AU38" s="420"/>
      <c r="AZ38" s="189"/>
      <c r="BA38" s="189"/>
      <c r="BB38" s="189"/>
      <c r="BC38" s="189"/>
      <c r="BD38" s="189"/>
      <c r="BE38" s="189"/>
      <c r="BG38" s="145">
        <f>IF($K38&gt;=0,+SUM(L$9:$L38)-$B38+Aug!$AZ$41+SUM(AQ$9:$AQ38)," ")</f>
        <v>0</v>
      </c>
      <c r="BH38" s="144">
        <f t="shared" si="23"/>
        <v>1</v>
      </c>
      <c r="BI38" s="146">
        <f t="shared" si="24"/>
        <v>0</v>
      </c>
      <c r="BJ38" s="146">
        <f t="shared" si="25"/>
        <v>0</v>
      </c>
      <c r="BK38" s="146">
        <f t="shared" si="26"/>
        <v>0</v>
      </c>
      <c r="BL38" s="164">
        <f t="shared" si="27"/>
        <v>0</v>
      </c>
      <c r="BM38" s="157">
        <f t="shared" si="28"/>
        <v>6.24</v>
      </c>
      <c r="BN38">
        <f t="shared" si="13"/>
        <v>2</v>
      </c>
    </row>
    <row r="39" spans="1:67" ht="15.95" customHeight="1" thickBot="1" x14ac:dyDescent="0.3">
      <c r="A39" s="85"/>
      <c r="B39" s="79" t="str">
        <f>IF($I39&lt;&gt;"",IF(WEEKDAY($I39,2)&lt;6,IF(VLOOKUP(WEEKDAY($I39,2),InputUge,3)&gt;0,IF($A39="",VLOOKUP(WEEKDAY($I39,2),InputUge,3)+MAX(B$8:B38),IF($A39&lt;VLOOKUP(WEEKDAY($I39,2),InputUge,3),$A39+MAX(B$8:B38),VLOOKUP(WEEKDAY($I39,2),InputUge,3)+MAX(B$8:B38))),""),""),"")</f>
        <v/>
      </c>
      <c r="C39" s="144">
        <f t="shared" si="14"/>
        <v>1</v>
      </c>
      <c r="D39" s="146" t="e">
        <f t="shared" si="15"/>
        <v>#VALUE!</v>
      </c>
      <c r="E39" s="146" t="e">
        <f t="shared" si="16"/>
        <v>#VALUE!</v>
      </c>
      <c r="F39" s="146" t="e">
        <f t="shared" si="17"/>
        <v>#VALUE!</v>
      </c>
      <c r="G39" s="261" t="e">
        <f t="shared" si="18"/>
        <v>#VALUE!</v>
      </c>
      <c r="H39" s="4">
        <v>31</v>
      </c>
      <c r="I39" s="16">
        <f t="shared" si="19"/>
        <v>41517</v>
      </c>
      <c r="J39" s="6"/>
      <c r="K39" s="6"/>
      <c r="L39" s="5" t="str">
        <f t="shared" si="33"/>
        <v/>
      </c>
      <c r="M39" s="141" t="e">
        <f t="shared" si="0"/>
        <v>#VALUE!</v>
      </c>
      <c r="N39" s="141" t="e">
        <f t="shared" si="1"/>
        <v>#VALUE!</v>
      </c>
      <c r="O39" s="141" t="e">
        <f t="shared" si="2"/>
        <v>#VALUE!</v>
      </c>
      <c r="P39" s="162" t="str">
        <f t="shared" si="3"/>
        <v/>
      </c>
      <c r="Q39" s="591"/>
      <c r="R39" s="592"/>
      <c r="S39" s="592"/>
      <c r="T39" s="593"/>
      <c r="U39" s="417"/>
      <c r="V39" s="240">
        <f t="shared" si="4"/>
        <v>0</v>
      </c>
      <c r="W39" s="240">
        <f t="shared" si="34"/>
        <v>0</v>
      </c>
      <c r="X39" s="240">
        <f t="shared" si="6"/>
        <v>0</v>
      </c>
      <c r="Y39" s="242">
        <f t="shared" si="20"/>
        <v>0</v>
      </c>
      <c r="Z39" s="417"/>
      <c r="AA39" s="417"/>
      <c r="AB39" s="417"/>
      <c r="AC39" s="417"/>
      <c r="AD39" s="417"/>
      <c r="AE39" s="240">
        <f t="shared" si="30"/>
        <v>0</v>
      </c>
      <c r="AF39" s="240">
        <f t="shared" si="31"/>
        <v>0</v>
      </c>
      <c r="AG39" s="240">
        <f t="shared" si="9"/>
        <v>0</v>
      </c>
      <c r="AH39" s="242">
        <f t="shared" si="32"/>
        <v>0</v>
      </c>
      <c r="AI39" s="417"/>
      <c r="AJ39" s="417"/>
      <c r="AK39" s="417"/>
      <c r="AL39" s="417"/>
      <c r="AM39" s="472"/>
      <c r="AN39" s="240">
        <f>FLOOR(AM39,1)</f>
        <v>0</v>
      </c>
      <c r="AO39" s="240">
        <f t="shared" si="11"/>
        <v>0</v>
      </c>
      <c r="AP39" s="240">
        <f t="shared" si="12"/>
        <v>0</v>
      </c>
      <c r="AQ39" s="242">
        <f t="shared" si="22"/>
        <v>0</v>
      </c>
      <c r="AR39" s="245"/>
      <c r="AS39" s="245"/>
      <c r="AT39" s="245"/>
      <c r="AU39" s="420"/>
      <c r="AZ39" s="189"/>
      <c r="BA39" s="144">
        <f t="shared" ref="BA39:BA44" si="35">IF(AZ39&lt;0,-1,1)</f>
        <v>1</v>
      </c>
      <c r="BB39" s="146">
        <f t="shared" ref="BB39:BB44" si="36">FLOOR(AZ39,BA39)</f>
        <v>0</v>
      </c>
      <c r="BC39" s="189"/>
      <c r="BD39" s="189"/>
      <c r="BE39" s="189"/>
      <c r="BG39" s="145" t="e">
        <f>IF($K39&gt;=0,+SUM(L$9:$L39)-$B39+Aug!$AZ$41+SUM(AQ$9:$AQ39)," ")</f>
        <v>#VALUE!</v>
      </c>
      <c r="BH39" s="144" t="e">
        <f t="shared" si="23"/>
        <v>#VALUE!</v>
      </c>
      <c r="BI39" s="146" t="e">
        <f t="shared" si="24"/>
        <v>#VALUE!</v>
      </c>
      <c r="BJ39" s="146" t="e">
        <f t="shared" si="25"/>
        <v>#VALUE!</v>
      </c>
      <c r="BK39" s="146" t="e">
        <f t="shared" si="26"/>
        <v>#VALUE!</v>
      </c>
      <c r="BL39" s="164" t="str">
        <f t="shared" si="27"/>
        <v/>
      </c>
      <c r="BM39" s="157" t="str">
        <f t="shared" si="28"/>
        <v/>
      </c>
      <c r="BN39">
        <f t="shared" si="13"/>
        <v>1</v>
      </c>
      <c r="BO39" s="15"/>
    </row>
    <row r="40" spans="1:67" ht="15.95" customHeight="1" thickBot="1" x14ac:dyDescent="0.3">
      <c r="B40" s="80">
        <f>MAX($B$8:$B39)</f>
        <v>163.83666666666667</v>
      </c>
      <c r="C40" s="80"/>
      <c r="D40" s="80"/>
      <c r="E40" s="80"/>
      <c r="F40" s="80"/>
      <c r="G40" s="279" t="e">
        <f>MAX($G$8:$G39)</f>
        <v>#VALUE!</v>
      </c>
      <c r="H40" s="10" t="s">
        <v>1</v>
      </c>
      <c r="I40" s="14"/>
      <c r="J40" s="612">
        <f>SUM(L40:L40)-SUM(Q41:R41)</f>
        <v>163.84</v>
      </c>
      <c r="K40" s="613"/>
      <c r="L40" s="76">
        <f>SUM(L9:L39)</f>
        <v>163.84</v>
      </c>
      <c r="M40" s="141">
        <f t="shared" si="0"/>
        <v>163</v>
      </c>
      <c r="N40" s="141">
        <f t="shared" si="1"/>
        <v>0.84000000000000341</v>
      </c>
      <c r="O40" s="141">
        <f t="shared" si="2"/>
        <v>0.504000000000002</v>
      </c>
      <c r="P40" s="276">
        <f>+O40+M40</f>
        <v>163.50399999999999</v>
      </c>
      <c r="Q40" s="629"/>
      <c r="R40" s="630"/>
      <c r="S40" s="631"/>
      <c r="T40" s="632"/>
      <c r="U40" s="433">
        <f>+AC40</f>
        <v>0</v>
      </c>
      <c r="V40" s="433"/>
      <c r="W40" s="433"/>
      <c r="X40" s="433"/>
      <c r="Y40" s="434">
        <f>SUM(Y9:Y39)</f>
        <v>0</v>
      </c>
      <c r="Z40" s="141">
        <f>FLOOR(Y40,1)</f>
        <v>0</v>
      </c>
      <c r="AA40" s="141">
        <f>+Y40-Z40</f>
        <v>0</v>
      </c>
      <c r="AB40" s="141">
        <f>+AA40/100*60</f>
        <v>0</v>
      </c>
      <c r="AC40" s="141">
        <f>+AB40+Z40</f>
        <v>0</v>
      </c>
      <c r="AD40" s="433">
        <f>+AL40</f>
        <v>0</v>
      </c>
      <c r="AE40" s="433"/>
      <c r="AF40" s="433"/>
      <c r="AG40" s="433"/>
      <c r="AH40" s="434">
        <f>SUM(AH9:AH30)</f>
        <v>0</v>
      </c>
      <c r="AI40" s="141">
        <f>FLOOR(AH40,1)</f>
        <v>0</v>
      </c>
      <c r="AJ40" s="141">
        <f>+AH40-AI40</f>
        <v>0</v>
      </c>
      <c r="AK40" s="141">
        <f>+AJ40/100*60</f>
        <v>0</v>
      </c>
      <c r="AL40" s="141">
        <f>+AK40+AI40</f>
        <v>0</v>
      </c>
      <c r="AM40" s="473">
        <f>+AU40</f>
        <v>0</v>
      </c>
      <c r="AN40" s="459"/>
      <c r="AO40" s="434"/>
      <c r="AP40" s="434"/>
      <c r="AQ40" s="434">
        <f>SUM(AQ9:AQ39)</f>
        <v>0</v>
      </c>
      <c r="AR40" s="141">
        <f>FLOOR(AQ40,1)</f>
        <v>0</v>
      </c>
      <c r="AS40" s="141">
        <f>+AQ40-AR40</f>
        <v>0</v>
      </c>
      <c r="AT40" s="141">
        <f>+AS40/100*60</f>
        <v>0</v>
      </c>
      <c r="AU40" s="141">
        <f>+AT40+AR40</f>
        <v>0</v>
      </c>
      <c r="AZ40" s="191"/>
      <c r="BA40" s="144">
        <f t="shared" si="35"/>
        <v>1</v>
      </c>
      <c r="BB40" s="146">
        <f t="shared" si="36"/>
        <v>0</v>
      </c>
      <c r="BC40" s="191"/>
      <c r="BD40" s="191"/>
      <c r="BE40" s="191"/>
      <c r="BG40" s="138"/>
      <c r="BH40" s="143"/>
      <c r="BI40" s="143"/>
      <c r="BJ40" s="143"/>
      <c r="BK40" s="143"/>
      <c r="BL40" s="168"/>
    </row>
    <row r="41" spans="1:67" ht="15.95" customHeight="1" x14ac:dyDescent="0.25">
      <c r="H41" s="623"/>
      <c r="I41" s="623"/>
      <c r="J41" s="624"/>
      <c r="K41" s="624"/>
      <c r="L41" s="624"/>
      <c r="M41" s="123"/>
      <c r="N41" s="123"/>
      <c r="O41" s="123"/>
      <c r="P41" s="265"/>
      <c r="Q41" s="99"/>
      <c r="R41" s="99"/>
      <c r="S41" s="599" t="s">
        <v>10</v>
      </c>
      <c r="T41" s="600"/>
      <c r="U41" s="600"/>
      <c r="V41" s="600"/>
      <c r="W41" s="600"/>
      <c r="X41" s="600"/>
      <c r="Y41" s="600"/>
      <c r="Z41" s="600"/>
      <c r="AA41" s="600"/>
      <c r="AB41" s="600"/>
      <c r="AC41" s="600"/>
      <c r="AD41" s="601"/>
      <c r="AE41" s="601"/>
      <c r="AF41" s="601"/>
      <c r="AG41" s="601"/>
      <c r="AH41" s="601"/>
      <c r="AI41" s="601"/>
      <c r="AJ41" s="601"/>
      <c r="AK41" s="601"/>
      <c r="AL41" s="601"/>
      <c r="AM41" s="601"/>
      <c r="AN41" s="400"/>
      <c r="AO41" s="400"/>
      <c r="AP41" s="400"/>
      <c r="AQ41" s="400"/>
      <c r="AR41" s="400"/>
      <c r="AS41" s="400"/>
      <c r="AT41" s="400"/>
      <c r="AU41" s="400"/>
      <c r="AV41" s="538">
        <f>+Jul!AV44</f>
        <v>-1.9999999999981812E-3</v>
      </c>
      <c r="AW41" s="538"/>
      <c r="AX41" s="633"/>
      <c r="AZ41" s="190">
        <f>+Jul!AZ44</f>
        <v>-3.3333333333303017E-3</v>
      </c>
      <c r="BA41" s="144">
        <f t="shared" si="35"/>
        <v>-1</v>
      </c>
      <c r="BB41" s="146">
        <f t="shared" si="36"/>
        <v>0</v>
      </c>
      <c r="BC41" s="141">
        <f>+AZ41-BB41</f>
        <v>-3.3333333333303017E-3</v>
      </c>
      <c r="BD41" s="141">
        <f>+BC41/100*60</f>
        <v>-1.9999999999981812E-3</v>
      </c>
      <c r="BE41" s="162">
        <f>+BD41+BB41</f>
        <v>-1.9999999999981812E-3</v>
      </c>
    </row>
    <row r="42" spans="1:67" ht="15.95" customHeight="1" x14ac:dyDescent="0.25">
      <c r="H42" s="94"/>
      <c r="I42" s="94"/>
      <c r="J42" s="94"/>
      <c r="K42" s="94"/>
      <c r="L42" s="100"/>
      <c r="M42" s="100"/>
      <c r="N42" s="100"/>
      <c r="O42" s="100"/>
      <c r="P42" s="100"/>
      <c r="Q42" s="100"/>
      <c r="R42" s="100"/>
      <c r="S42" s="602" t="s">
        <v>11</v>
      </c>
      <c r="T42" s="603"/>
      <c r="U42" s="603"/>
      <c r="V42" s="603"/>
      <c r="W42" s="603"/>
      <c r="X42" s="603"/>
      <c r="Y42" s="603"/>
      <c r="Z42" s="603"/>
      <c r="AA42" s="603"/>
      <c r="AB42" s="603"/>
      <c r="AC42" s="603"/>
      <c r="AD42" s="604"/>
      <c r="AE42" s="604"/>
      <c r="AF42" s="604"/>
      <c r="AG42" s="604"/>
      <c r="AH42" s="604"/>
      <c r="AI42" s="604"/>
      <c r="AJ42" s="604"/>
      <c r="AK42" s="604"/>
      <c r="AL42" s="604"/>
      <c r="AM42" s="604"/>
      <c r="AN42" s="401"/>
      <c r="AO42" s="401"/>
      <c r="AP42" s="401"/>
      <c r="AQ42" s="401"/>
      <c r="AR42" s="401"/>
      <c r="AS42" s="401"/>
      <c r="AT42" s="401"/>
      <c r="AU42" s="401"/>
      <c r="AV42" s="606">
        <f>+BE42</f>
        <v>163.50399999999999</v>
      </c>
      <c r="AW42" s="606"/>
      <c r="AX42" s="607"/>
      <c r="AY42" s="1"/>
      <c r="AZ42" s="190">
        <f>+J40+AQ40</f>
        <v>163.84</v>
      </c>
      <c r="BA42" s="144">
        <f t="shared" si="35"/>
        <v>1</v>
      </c>
      <c r="BB42" s="146">
        <f t="shared" si="36"/>
        <v>163</v>
      </c>
      <c r="BC42" s="141">
        <f>+AZ42-BB42</f>
        <v>0.84000000000000341</v>
      </c>
      <c r="BD42" s="141">
        <f>+BC42/100*60</f>
        <v>0.504000000000002</v>
      </c>
      <c r="BE42" s="162">
        <f>+BD42+BB42</f>
        <v>163.50399999999999</v>
      </c>
    </row>
    <row r="43" spans="1:67" ht="15.95" customHeight="1" x14ac:dyDescent="0.25">
      <c r="H43" s="611"/>
      <c r="I43" s="611"/>
      <c r="J43" s="611"/>
      <c r="K43" s="611"/>
      <c r="L43" s="611"/>
      <c r="M43" s="611"/>
      <c r="N43" s="611"/>
      <c r="O43" s="611"/>
      <c r="P43" s="611"/>
      <c r="Q43" s="611"/>
      <c r="R43" s="611"/>
      <c r="S43" s="602" t="s">
        <v>12</v>
      </c>
      <c r="T43" s="603"/>
      <c r="U43" s="603"/>
      <c r="V43" s="603"/>
      <c r="W43" s="603"/>
      <c r="X43" s="603"/>
      <c r="Y43" s="603"/>
      <c r="Z43" s="603"/>
      <c r="AA43" s="603"/>
      <c r="AB43" s="603"/>
      <c r="AC43" s="603"/>
      <c r="AD43" s="604"/>
      <c r="AE43" s="604"/>
      <c r="AF43" s="604"/>
      <c r="AG43" s="604"/>
      <c r="AH43" s="604"/>
      <c r="AI43" s="604"/>
      <c r="AJ43" s="604"/>
      <c r="AK43" s="604"/>
      <c r="AL43" s="604"/>
      <c r="AM43" s="604"/>
      <c r="AN43" s="401"/>
      <c r="AO43" s="401"/>
      <c r="AP43" s="401"/>
      <c r="AQ43" s="401"/>
      <c r="AR43" s="401"/>
      <c r="AS43" s="401"/>
      <c r="AT43" s="401"/>
      <c r="AU43" s="401"/>
      <c r="AV43" s="543">
        <f>+BE43</f>
        <v>163.50200000000001</v>
      </c>
      <c r="AW43" s="543"/>
      <c r="AX43" s="544"/>
      <c r="AZ43" s="157">
        <f>+B40</f>
        <v>163.83666666666667</v>
      </c>
      <c r="BA43" s="144">
        <f t="shared" si="35"/>
        <v>1</v>
      </c>
      <c r="BB43" s="146">
        <f t="shared" si="36"/>
        <v>163</v>
      </c>
      <c r="BC43" s="141">
        <f>+AZ43-BB43</f>
        <v>0.83666666666667311</v>
      </c>
      <c r="BD43" s="141">
        <f>+BC43/100*60</f>
        <v>0.50200000000000378</v>
      </c>
      <c r="BE43" s="162">
        <f>+BD43+BB43</f>
        <v>163.50200000000001</v>
      </c>
    </row>
    <row r="44" spans="1:67" ht="18" customHeight="1" thickBot="1" x14ac:dyDescent="0.3">
      <c r="H44" s="96"/>
      <c r="I44" s="96"/>
      <c r="J44" s="96"/>
      <c r="K44" s="96"/>
      <c r="L44" s="97"/>
      <c r="M44" s="97"/>
      <c r="N44" s="97"/>
      <c r="O44" s="97"/>
      <c r="P44" s="97"/>
      <c r="Q44" s="96"/>
      <c r="R44" s="96"/>
      <c r="S44" s="596" t="s">
        <v>13</v>
      </c>
      <c r="T44" s="597"/>
      <c r="U44" s="597"/>
      <c r="V44" s="597"/>
      <c r="W44" s="597"/>
      <c r="X44" s="597"/>
      <c r="Y44" s="597"/>
      <c r="Z44" s="597"/>
      <c r="AA44" s="597"/>
      <c r="AB44" s="597"/>
      <c r="AC44" s="597"/>
      <c r="AD44" s="598"/>
      <c r="AE44" s="598"/>
      <c r="AF44" s="598"/>
      <c r="AG44" s="598"/>
      <c r="AH44" s="598"/>
      <c r="AI44" s="598"/>
      <c r="AJ44" s="598"/>
      <c r="AK44" s="598"/>
      <c r="AL44" s="598"/>
      <c r="AM44" s="598"/>
      <c r="AN44" s="402"/>
      <c r="AO44" s="402"/>
      <c r="AP44" s="402"/>
      <c r="AQ44" s="402"/>
      <c r="AR44" s="402"/>
      <c r="AS44" s="402"/>
      <c r="AT44" s="402"/>
      <c r="AU44" s="402"/>
      <c r="AV44" s="545">
        <f>+BE44</f>
        <v>0</v>
      </c>
      <c r="AW44" s="545"/>
      <c r="AX44" s="609"/>
      <c r="AZ44" s="157">
        <f>+AZ41+AZ42-AZ43</f>
        <v>0</v>
      </c>
      <c r="BA44" s="144">
        <f t="shared" si="35"/>
        <v>1</v>
      </c>
      <c r="BB44" s="146">
        <f t="shared" si="36"/>
        <v>0</v>
      </c>
      <c r="BC44" s="141">
        <f>+AZ44-BB44</f>
        <v>0</v>
      </c>
      <c r="BD44" s="141">
        <f>+BC44/100*60</f>
        <v>0</v>
      </c>
      <c r="BE44" s="162">
        <f>+BD44+BB44</f>
        <v>0</v>
      </c>
    </row>
    <row r="45" spans="1:67" ht="15.95" hidden="1" customHeight="1" x14ac:dyDescent="0.25">
      <c r="H45" s="96"/>
      <c r="I45" s="96"/>
      <c r="J45" s="96"/>
      <c r="K45" s="96"/>
      <c r="L45" s="96"/>
      <c r="M45" s="96"/>
      <c r="N45" s="96"/>
      <c r="O45" s="96"/>
      <c r="P45" s="95"/>
      <c r="Q45" s="96"/>
      <c r="R45" s="96"/>
      <c r="S45" s="171"/>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2"/>
    </row>
    <row r="46" spans="1:67" ht="15.95" hidden="1" customHeight="1" thickBot="1" x14ac:dyDescent="0.3">
      <c r="S46" s="589" t="s">
        <v>76</v>
      </c>
      <c r="T46" s="590"/>
      <c r="U46" s="590"/>
      <c r="V46" s="590"/>
      <c r="W46" s="590"/>
      <c r="X46" s="590"/>
      <c r="Y46" s="590"/>
      <c r="Z46" s="590"/>
      <c r="AA46" s="590"/>
      <c r="AB46" s="590"/>
      <c r="AC46" s="590"/>
      <c r="AD46" s="590"/>
      <c r="AE46" s="590"/>
      <c r="AF46" s="590"/>
      <c r="AG46" s="590"/>
      <c r="AH46" s="590"/>
      <c r="AI46" s="590"/>
      <c r="AJ46" s="590"/>
      <c r="AK46" s="590"/>
      <c r="AL46" s="590"/>
      <c r="AM46" s="590"/>
      <c r="AN46" s="175"/>
      <c r="AO46" s="175"/>
      <c r="AP46" s="175"/>
      <c r="AQ46" s="175"/>
      <c r="AR46" s="175"/>
      <c r="AS46" s="175"/>
      <c r="AT46" s="175"/>
      <c r="AU46" s="175"/>
      <c r="AV46" s="594">
        <f>+BE46</f>
        <v>0</v>
      </c>
      <c r="AW46" s="594"/>
      <c r="AX46" s="595"/>
      <c r="AZ46" s="157">
        <f>+Y40+AH40+Feb!AZ44</f>
        <v>0</v>
      </c>
      <c r="BA46" s="157"/>
      <c r="BB46" s="141">
        <f>FLOOR(AZ46,1)</f>
        <v>0</v>
      </c>
      <c r="BC46" s="141">
        <f>+AZ46-BB46</f>
        <v>0</v>
      </c>
      <c r="BD46" s="141">
        <f>+BC46/100*60</f>
        <v>0</v>
      </c>
      <c r="BE46" s="162">
        <f>+BD46+BB46</f>
        <v>0</v>
      </c>
    </row>
  </sheetData>
  <sheetProtection sheet="1" objects="1" scenarios="1"/>
  <mergeCells count="59">
    <mergeCell ref="Q34:T34"/>
    <mergeCell ref="Q35:T35"/>
    <mergeCell ref="Q38:T38"/>
    <mergeCell ref="Q39:T39"/>
    <mergeCell ref="Q37:T37"/>
    <mergeCell ref="Q36:T36"/>
    <mergeCell ref="Q24:T24"/>
    <mergeCell ref="Q21:T21"/>
    <mergeCell ref="Q22:T22"/>
    <mergeCell ref="Q32:T32"/>
    <mergeCell ref="Q33:T33"/>
    <mergeCell ref="Q29:T29"/>
    <mergeCell ref="Q30:T30"/>
    <mergeCell ref="Q31:T31"/>
    <mergeCell ref="Q27:T27"/>
    <mergeCell ref="Q28:T28"/>
    <mergeCell ref="H1:AZ1"/>
    <mergeCell ref="Q7:T7"/>
    <mergeCell ref="H4:K4"/>
    <mergeCell ref="U3:AV3"/>
    <mergeCell ref="L4:S4"/>
    <mergeCell ref="H3:K3"/>
    <mergeCell ref="AX3:AY3"/>
    <mergeCell ref="AX4:AY4"/>
    <mergeCell ref="AX5:AY5"/>
    <mergeCell ref="U5:AV5"/>
    <mergeCell ref="L5:S5"/>
    <mergeCell ref="L3:S3"/>
    <mergeCell ref="U6:AD6"/>
    <mergeCell ref="Q10:T10"/>
    <mergeCell ref="Q11:T11"/>
    <mergeCell ref="Q12:T12"/>
    <mergeCell ref="J40:K40"/>
    <mergeCell ref="Q40:T40"/>
    <mergeCell ref="S41:AM41"/>
    <mergeCell ref="H5:K5"/>
    <mergeCell ref="Q15:T15"/>
    <mergeCell ref="Q16:T16"/>
    <mergeCell ref="Q13:T13"/>
    <mergeCell ref="Q14:T14"/>
    <mergeCell ref="Q9:T9"/>
    <mergeCell ref="Q17:T17"/>
    <mergeCell ref="Q18:T18"/>
    <mergeCell ref="Q19:T19"/>
    <mergeCell ref="Q20:T20"/>
    <mergeCell ref="Q25:T25"/>
    <mergeCell ref="Q26:T26"/>
    <mergeCell ref="Q23:T23"/>
    <mergeCell ref="H43:R43"/>
    <mergeCell ref="S43:AM43"/>
    <mergeCell ref="H41:L41"/>
    <mergeCell ref="S42:AM42"/>
    <mergeCell ref="AV42:AX42"/>
    <mergeCell ref="S46:AM46"/>
    <mergeCell ref="AV46:AX46"/>
    <mergeCell ref="S44:AM44"/>
    <mergeCell ref="AV44:AX44"/>
    <mergeCell ref="AV41:AX41"/>
    <mergeCell ref="AV43:AX43"/>
  </mergeCells>
  <phoneticPr fontId="0" type="noConversion"/>
  <conditionalFormatting sqref="H9:H39">
    <cfRule type="expression" dxfId="83" priority="8" stopIfTrue="1">
      <formula>IF(WEEKDAY($I9,2)&gt;5,1,0)</formula>
    </cfRule>
    <cfRule type="expression" dxfId="82" priority="9" stopIfTrue="1">
      <formula>IF($I9=TODAY(),1,0)</formula>
    </cfRule>
  </conditionalFormatting>
  <conditionalFormatting sqref="Q9:T39 BC9:BE39 BA9:BB38 AZ9:AZ39 J25:K26 J32:K33 J39:K39 J9:K19">
    <cfRule type="expression" dxfId="81" priority="10" stopIfTrue="1">
      <formula>IF(WEEKDAY($B9,2)&lt;6,1,0)</formula>
    </cfRule>
  </conditionalFormatting>
  <conditionalFormatting sqref="BI9:BK39 AE9:AG39 BB39:BB44 V9:X39 Z40:AC40 AI40:AL40 AU13 AN9:AP39 AR40:AU40 BB46:BE46 BC41:BE44 M40:P40 L9:P19 L25:P26 L32:P33 L39:P39">
    <cfRule type="cellIs" dxfId="80" priority="11" stopIfTrue="1" operator="lessThan">
      <formula>0</formula>
    </cfRule>
  </conditionalFormatting>
  <conditionalFormatting sqref="B9:B39 G9:G39">
    <cfRule type="expression" dxfId="79" priority="12" stopIfTrue="1">
      <formula>IF(B9=MAX($B$8:B8),1,0)</formula>
    </cfRule>
  </conditionalFormatting>
  <conditionalFormatting sqref="J20:K22 J24:K24 J23">
    <cfRule type="expression" dxfId="78" priority="6" stopIfTrue="1">
      <formula>IF(WEEKDAY($B20,2)&lt;6,1,0)</formula>
    </cfRule>
  </conditionalFormatting>
  <conditionalFormatting sqref="L20:P24">
    <cfRule type="cellIs" dxfId="77" priority="7" stopIfTrue="1" operator="lessThan">
      <formula>0</formula>
    </cfRule>
  </conditionalFormatting>
  <conditionalFormatting sqref="J27:K31">
    <cfRule type="expression" dxfId="76" priority="4" stopIfTrue="1">
      <formula>IF(WEEKDAY($B27,2)&lt;6,1,0)</formula>
    </cfRule>
  </conditionalFormatting>
  <conditionalFormatting sqref="L27:P31">
    <cfRule type="cellIs" dxfId="75" priority="5" stopIfTrue="1" operator="lessThan">
      <formula>0</formula>
    </cfRule>
  </conditionalFormatting>
  <conditionalFormatting sqref="J34:K38">
    <cfRule type="expression" dxfId="74" priority="2" stopIfTrue="1">
      <formula>IF(WEEKDAY($B34,2)&lt;6,1,0)</formula>
    </cfRule>
  </conditionalFormatting>
  <conditionalFormatting sqref="L34:P38">
    <cfRule type="cellIs" dxfId="73" priority="3" stopIfTrue="1" operator="lessThan">
      <formula>0</formula>
    </cfRule>
  </conditionalFormatting>
  <conditionalFormatting sqref="K23">
    <cfRule type="expression" dxfId="72" priority="1" stopIfTrue="1">
      <formula>IF(WEEKDAY($B23,2)&lt;6,1,0)</formula>
    </cfRule>
  </conditionalFormatting>
  <printOptions horizontalCentered="1" verticalCentered="1"/>
  <pageMargins left="0.59055118110236227" right="0.19685039370078741" top="0.19685039370078741" bottom="0.59055118110236227" header="0.51181102362204722" footer="0.51181102362204722"/>
  <pageSetup paperSize="9" scale="110" orientation="portrait" horizont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dimension ref="A1:BO45"/>
  <sheetViews>
    <sheetView zoomScale="75" workbookViewId="0">
      <pane xSplit="9" ySplit="8" topLeftCell="J9" activePane="bottomRight" state="frozen"/>
      <selection activeCell="U24" sqref="U24"/>
      <selection pane="topRight" activeCell="U24" sqref="U24"/>
      <selection pane="bottomLeft" activeCell="U24" sqref="U24"/>
      <selection pane="bottomRight" activeCell="U24" sqref="U24"/>
    </sheetView>
  </sheetViews>
  <sheetFormatPr defaultRowHeight="15" x14ac:dyDescent="0.25"/>
  <cols>
    <col min="1" max="1" width="7.85546875" customWidth="1"/>
    <col min="2" max="2" width="9.42578125" hidden="1" customWidth="1"/>
    <col min="3" max="3" width="5.28515625" hidden="1" customWidth="1"/>
    <col min="4" max="6" width="9.85546875" hidden="1" customWidth="1"/>
    <col min="7" max="7" width="10" style="258" bestFit="1" customWidth="1"/>
    <col min="8" max="8" width="5.42578125" bestFit="1" customWidth="1"/>
    <col min="9" max="9" width="12" hidden="1" customWidth="1"/>
    <col min="10" max="10" width="7.7109375" bestFit="1" customWidth="1"/>
    <col min="11" max="11" width="7" bestFit="1" customWidth="1"/>
    <col min="12" max="12" width="7.140625" hidden="1" customWidth="1"/>
    <col min="13" max="13" width="7.5703125" hidden="1" customWidth="1"/>
    <col min="14" max="15" width="5.28515625" hidden="1" customWidth="1"/>
    <col min="16" max="16" width="9" style="266" customWidth="1"/>
    <col min="17" max="17" width="6.28515625" customWidth="1"/>
    <col min="18" max="18" width="2.140625" customWidth="1"/>
    <col min="19" max="19" width="6.28515625" customWidth="1"/>
    <col min="20" max="20" width="8.140625" customWidth="1"/>
    <col min="21" max="21" width="17.140625" bestFit="1" customWidth="1"/>
    <col min="22" max="29" width="5.28515625" hidden="1" customWidth="1"/>
    <col min="30" max="30" width="15" customWidth="1"/>
    <col min="31" max="38" width="5.28515625" hidden="1" customWidth="1"/>
    <col min="39" max="39" width="22.85546875" bestFit="1" customWidth="1"/>
    <col min="40" max="47" width="5.28515625" hidden="1" customWidth="1"/>
    <col min="48" max="48" width="1.5703125" customWidth="1"/>
    <col min="49" max="50" width="6.28515625" customWidth="1"/>
    <col min="51" max="51" width="7.140625" customWidth="1"/>
    <col min="52" max="52" width="8.5703125" hidden="1" customWidth="1"/>
    <col min="53" max="53" width="5.28515625" hidden="1" customWidth="1"/>
    <col min="54" max="54" width="7.5703125" hidden="1" customWidth="1"/>
    <col min="55" max="56" width="5.28515625" hidden="1" customWidth="1"/>
    <col min="57" max="57" width="7.5703125" hidden="1" customWidth="1"/>
    <col min="58" max="58" width="0" hidden="1" customWidth="1"/>
    <col min="59" max="60" width="10" style="134" hidden="1" customWidth="1"/>
    <col min="61" max="63" width="9.85546875" style="134" hidden="1" customWidth="1"/>
    <col min="64" max="64" width="12.140625" style="134" bestFit="1" customWidth="1"/>
    <col min="65" max="65" width="4.5703125" hidden="1" customWidth="1"/>
    <col min="66" max="66" width="2.28515625" hidden="1" customWidth="1"/>
    <col min="67" max="68" width="0" hidden="1" customWidth="1"/>
  </cols>
  <sheetData>
    <row r="1" spans="1:66" ht="18" x14ac:dyDescent="0.25">
      <c r="H1" s="547" t="s">
        <v>114</v>
      </c>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174"/>
      <c r="BB1" s="174"/>
      <c r="BC1" s="174"/>
      <c r="BD1" s="174"/>
      <c r="BE1" s="174"/>
    </row>
    <row r="2" spans="1:66" ht="8.1" customHeight="1" x14ac:dyDescent="0.25">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66" ht="15.95" customHeight="1" x14ac:dyDescent="0.25">
      <c r="H3" s="620" t="s">
        <v>5</v>
      </c>
      <c r="I3" s="621"/>
      <c r="J3" s="621"/>
      <c r="K3" s="622"/>
      <c r="L3" s="555" t="str">
        <f>+Resume!H1</f>
        <v>Lars Larsen</v>
      </c>
      <c r="M3" s="556"/>
      <c r="N3" s="556"/>
      <c r="O3" s="556"/>
      <c r="P3" s="556"/>
      <c r="Q3" s="557"/>
      <c r="R3" s="557"/>
      <c r="S3" s="557"/>
      <c r="T3" s="49"/>
      <c r="U3" s="626" t="s">
        <v>7</v>
      </c>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558">
        <f>+I9</f>
        <v>41518</v>
      </c>
      <c r="AX3" s="559"/>
      <c r="AY3" s="560"/>
      <c r="AZ3" s="183"/>
      <c r="BA3" s="183"/>
      <c r="BB3" s="183"/>
      <c r="BC3" s="183"/>
      <c r="BD3" s="183"/>
      <c r="BE3" s="183"/>
    </row>
    <row r="4" spans="1:66" ht="15.95" customHeight="1" x14ac:dyDescent="0.25">
      <c r="H4" s="625" t="s">
        <v>6</v>
      </c>
      <c r="I4" s="625"/>
      <c r="J4" s="625"/>
      <c r="K4" s="625"/>
      <c r="L4" s="550" t="str">
        <f>+Resume!H2</f>
        <v>010101-0101</v>
      </c>
      <c r="M4" s="551"/>
      <c r="N4" s="551"/>
      <c r="O4" s="551"/>
      <c r="P4" s="551"/>
      <c r="Q4" s="551"/>
      <c r="R4" s="551"/>
      <c r="S4" s="551"/>
      <c r="T4" s="50"/>
      <c r="U4" s="17" t="s">
        <v>8</v>
      </c>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8"/>
      <c r="AW4" s="561" t="str">
        <f>IF(Resume!I4&lt;&gt;"",Resume!I4,"")</f>
        <v>1 - bagud</v>
      </c>
      <c r="AX4" s="562"/>
      <c r="AY4" s="563"/>
      <c r="AZ4" s="184"/>
      <c r="BA4" s="184"/>
      <c r="BB4" s="184"/>
      <c r="BC4" s="184"/>
      <c r="BD4" s="184"/>
      <c r="BE4" s="184"/>
    </row>
    <row r="5" spans="1:66" ht="15.95" customHeight="1" x14ac:dyDescent="0.25">
      <c r="H5" s="620" t="s">
        <v>9</v>
      </c>
      <c r="I5" s="621"/>
      <c r="J5" s="621"/>
      <c r="K5" s="622"/>
      <c r="L5" s="555" t="str">
        <f>+Resume!H3</f>
        <v>SKAT</v>
      </c>
      <c r="M5" s="556"/>
      <c r="N5" s="556"/>
      <c r="O5" s="556"/>
      <c r="P5" s="556"/>
      <c r="Q5" s="557"/>
      <c r="R5" s="557"/>
      <c r="S5" s="557"/>
      <c r="T5" s="49"/>
      <c r="U5" s="617"/>
      <c r="V5" s="618"/>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9"/>
      <c r="AW5" s="614"/>
      <c r="AX5" s="615"/>
      <c r="AY5" s="616"/>
      <c r="AZ5" s="185"/>
      <c r="BA5" s="185"/>
      <c r="BB5" s="185"/>
      <c r="BC5" s="185"/>
      <c r="BD5" s="185"/>
      <c r="BE5" s="185"/>
    </row>
    <row r="6" spans="1:66" ht="57.75" customHeight="1" thickBot="1" x14ac:dyDescent="0.3">
      <c r="H6" s="3"/>
      <c r="I6" s="3"/>
      <c r="J6" s="3"/>
      <c r="K6" s="3"/>
      <c r="L6" s="3"/>
      <c r="M6" s="3"/>
      <c r="N6" s="3"/>
      <c r="O6" s="3"/>
      <c r="P6" s="3"/>
      <c r="Q6" s="426"/>
      <c r="R6" s="426"/>
      <c r="S6" s="426"/>
      <c r="T6" s="426"/>
      <c r="U6" s="628" t="s">
        <v>75</v>
      </c>
      <c r="V6" s="628"/>
      <c r="W6" s="628"/>
      <c r="X6" s="628"/>
      <c r="Y6" s="628"/>
      <c r="Z6" s="628"/>
      <c r="AA6" s="628"/>
      <c r="AB6" s="628"/>
      <c r="AC6" s="628"/>
      <c r="AD6" s="628"/>
      <c r="AE6" s="427"/>
      <c r="AF6" s="427"/>
      <c r="AG6" s="427"/>
      <c r="AH6" s="427"/>
      <c r="AI6" s="427"/>
      <c r="AJ6" s="427"/>
      <c r="AK6" s="427"/>
      <c r="AL6" s="427"/>
      <c r="AM6" s="428" t="s">
        <v>77</v>
      </c>
      <c r="AN6" s="429"/>
      <c r="AO6" s="429"/>
      <c r="AP6" s="429"/>
      <c r="AQ6" s="429"/>
      <c r="AR6" s="429"/>
      <c r="AS6" s="429"/>
      <c r="AT6" s="429"/>
      <c r="AU6" s="429"/>
      <c r="AV6" s="426"/>
      <c r="AW6" s="426"/>
      <c r="AX6" s="426"/>
      <c r="AY6" s="426"/>
      <c r="AZ6" s="101"/>
      <c r="BA6" s="101"/>
      <c r="BB6" s="101"/>
      <c r="BC6" s="101"/>
      <c r="BD6" s="101"/>
      <c r="BE6" s="101"/>
    </row>
    <row r="7" spans="1:66" s="118" customFormat="1" ht="55.5" customHeight="1" thickBot="1" x14ac:dyDescent="0.3">
      <c r="A7" s="112" t="s">
        <v>58</v>
      </c>
      <c r="B7" s="119" t="s">
        <v>18</v>
      </c>
      <c r="C7" s="176"/>
      <c r="D7" s="176"/>
      <c r="E7" s="176"/>
      <c r="F7" s="176"/>
      <c r="G7" s="262" t="s">
        <v>18</v>
      </c>
      <c r="H7" s="114" t="s">
        <v>2</v>
      </c>
      <c r="I7" s="115"/>
      <c r="J7" s="116" t="s">
        <v>3</v>
      </c>
      <c r="K7" s="116" t="s">
        <v>4</v>
      </c>
      <c r="L7" s="117" t="s">
        <v>0</v>
      </c>
      <c r="M7" s="139"/>
      <c r="N7" s="139"/>
      <c r="O7" s="139"/>
      <c r="P7" s="216" t="s">
        <v>69</v>
      </c>
      <c r="Q7" s="586" t="s">
        <v>115</v>
      </c>
      <c r="R7" s="587"/>
      <c r="S7" s="587"/>
      <c r="T7" s="588"/>
      <c r="U7" s="452" t="s">
        <v>116</v>
      </c>
      <c r="V7" s="423"/>
      <c r="W7" s="423"/>
      <c r="X7" s="423"/>
      <c r="Y7" s="423"/>
      <c r="Z7" s="423"/>
      <c r="AA7" s="423"/>
      <c r="AB7" s="423"/>
      <c r="AC7" s="423"/>
      <c r="AD7" s="423" t="s">
        <v>68</v>
      </c>
      <c r="AE7" s="423"/>
      <c r="AF7" s="423"/>
      <c r="AG7" s="423"/>
      <c r="AH7" s="423"/>
      <c r="AI7" s="423"/>
      <c r="AJ7" s="423"/>
      <c r="AK7" s="423"/>
      <c r="AL7" s="423"/>
      <c r="AM7" s="424" t="s">
        <v>91</v>
      </c>
      <c r="AN7" s="425"/>
      <c r="AO7" s="425"/>
      <c r="AP7" s="425"/>
      <c r="AQ7" s="425"/>
      <c r="AR7" s="425"/>
      <c r="AS7" s="425"/>
      <c r="AT7" s="425"/>
      <c r="AU7" s="425"/>
      <c r="AZ7" s="186"/>
      <c r="BA7" s="186"/>
      <c r="BB7" s="186"/>
      <c r="BC7" s="186"/>
      <c r="BD7" s="186"/>
      <c r="BE7" s="186"/>
      <c r="BG7" s="135" t="s">
        <v>61</v>
      </c>
      <c r="BH7" s="142"/>
      <c r="BI7" s="142"/>
      <c r="BJ7" s="142"/>
      <c r="BK7" s="142"/>
      <c r="BL7" s="163" t="s">
        <v>70</v>
      </c>
    </row>
    <row r="8" spans="1:66" ht="0.95" customHeight="1" x14ac:dyDescent="0.25">
      <c r="A8" s="90"/>
      <c r="B8" s="92"/>
      <c r="C8" s="32"/>
      <c r="D8" s="32"/>
      <c r="E8" s="32"/>
      <c r="F8" s="32"/>
      <c r="G8" s="264"/>
      <c r="H8" s="75"/>
      <c r="I8" s="70"/>
      <c r="J8" s="71"/>
      <c r="K8" s="71"/>
      <c r="L8" s="72"/>
      <c r="M8" s="140"/>
      <c r="N8" s="140"/>
      <c r="O8" s="140"/>
      <c r="P8" s="140"/>
      <c r="Q8" s="73"/>
      <c r="R8" s="73"/>
      <c r="S8" s="74"/>
      <c r="T8" s="74"/>
      <c r="U8" s="74"/>
      <c r="V8" s="74"/>
      <c r="W8" s="74"/>
      <c r="X8" s="74"/>
      <c r="Y8" s="74"/>
      <c r="Z8" s="74"/>
      <c r="AA8" s="74"/>
      <c r="AB8" s="74"/>
      <c r="AC8" s="74"/>
      <c r="AD8" s="74"/>
      <c r="AE8" s="74"/>
      <c r="AF8" s="74"/>
      <c r="AG8" s="74"/>
      <c r="AH8" s="74"/>
      <c r="AI8" s="74"/>
      <c r="AJ8" s="74"/>
      <c r="AK8" s="74"/>
      <c r="AL8" s="74"/>
      <c r="AM8" s="161"/>
      <c r="AN8" s="161"/>
      <c r="AO8" s="161"/>
      <c r="AP8" s="161"/>
      <c r="AQ8" s="161"/>
      <c r="AR8" s="161"/>
      <c r="AS8" s="161"/>
      <c r="AT8" s="161"/>
      <c r="AU8" s="161"/>
      <c r="AZ8" s="187"/>
      <c r="BA8" s="187"/>
      <c r="BB8" s="187"/>
      <c r="BC8" s="187"/>
      <c r="BD8" s="187"/>
      <c r="BE8" s="187"/>
      <c r="BG8" s="136"/>
      <c r="BH8" s="143"/>
      <c r="BI8" s="143"/>
      <c r="BJ8" s="143"/>
      <c r="BK8" s="143"/>
      <c r="BL8" s="166"/>
    </row>
    <row r="9" spans="1:66" ht="15.95" customHeight="1" x14ac:dyDescent="0.25">
      <c r="A9" s="83"/>
      <c r="B9" s="79" t="str">
        <f>IF($I9&lt;&gt;"",IF(WEEKDAY($I9,2)&lt;6,IF(VLOOKUP(WEEKDAY($I9,2),InputUge,3)&gt;0,IF($A9="",VLOOKUP(WEEKDAY($I9,2),InputUge,3)+MAX(B$8:B8),IF($A9&lt;VLOOKUP(WEEKDAY($I9,2),InputUge,3),$A9+MAX(B$8:B8),VLOOKUP(WEEKDAY($I9,2),InputUge,3)+MAX(B$8:B8))),""),""),"")</f>
        <v/>
      </c>
      <c r="C9" s="144">
        <f>IF(B9&lt;0,-1,1)</f>
        <v>1</v>
      </c>
      <c r="D9" s="146" t="e">
        <f>FLOOR(B9,C9)</f>
        <v>#VALUE!</v>
      </c>
      <c r="E9" s="146" t="e">
        <f>+B9-D9</f>
        <v>#VALUE!</v>
      </c>
      <c r="F9" s="146" t="e">
        <f>+E9/100*60</f>
        <v>#VALUE!</v>
      </c>
      <c r="G9" s="261"/>
      <c r="H9" s="4">
        <v>1</v>
      </c>
      <c r="I9" s="16">
        <f>+Aug!I39+1</f>
        <v>41518</v>
      </c>
      <c r="J9" s="6"/>
      <c r="K9" s="6"/>
      <c r="L9" s="5"/>
      <c r="M9" s="141">
        <f t="shared" ref="M9:M33" si="0">FLOOR(L9,1)</f>
        <v>0</v>
      </c>
      <c r="N9" s="141">
        <f t="shared" ref="N9:N33" si="1">+L9-M9</f>
        <v>0</v>
      </c>
      <c r="O9" s="141">
        <f t="shared" ref="O9:O33" si="2">+N9/100*60</f>
        <v>0</v>
      </c>
      <c r="P9" s="141" t="str">
        <f t="shared" ref="P9:P38" si="3">IF(J9="","",O9+M9)</f>
        <v/>
      </c>
      <c r="Q9" s="591"/>
      <c r="R9" s="592"/>
      <c r="S9" s="592"/>
      <c r="T9" s="593"/>
      <c r="U9" s="417"/>
      <c r="V9" s="240">
        <f t="shared" ref="V9:V38" si="4">FLOOR(U9,1)</f>
        <v>0</v>
      </c>
      <c r="W9" s="240">
        <f>+U9-V9</f>
        <v>0</v>
      </c>
      <c r="X9" s="240">
        <f t="shared" ref="X9:X38" si="5">+W9/60*100</f>
        <v>0</v>
      </c>
      <c r="Y9" s="242">
        <f>+X9+V9</f>
        <v>0</v>
      </c>
      <c r="Z9" s="418"/>
      <c r="AA9" s="418"/>
      <c r="AB9" s="418"/>
      <c r="AC9" s="418"/>
      <c r="AD9" s="417"/>
      <c r="AE9" s="240">
        <f t="shared" ref="AE9:AE38" si="6">FLOOR(AD9,1)</f>
        <v>0</v>
      </c>
      <c r="AF9" s="240">
        <f t="shared" ref="AF9:AF38" si="7">+AD9-AE9</f>
        <v>0</v>
      </c>
      <c r="AG9" s="240">
        <f t="shared" ref="AG9:AG38" si="8">+AF9/60*100</f>
        <v>0</v>
      </c>
      <c r="AH9" s="242">
        <f>+AG9+AE9</f>
        <v>0</v>
      </c>
      <c r="AI9" s="245"/>
      <c r="AJ9" s="245"/>
      <c r="AK9" s="245"/>
      <c r="AL9" s="419"/>
      <c r="AM9" s="472"/>
      <c r="AN9" s="240">
        <f t="shared" ref="AN9:AN38" si="9">FLOOR(AM9,1)</f>
        <v>0</v>
      </c>
      <c r="AO9" s="240">
        <f t="shared" ref="AO9:AO38" si="10">+AM9-AN9</f>
        <v>0</v>
      </c>
      <c r="AP9" s="240">
        <f t="shared" ref="AP9:AP38" si="11">+AO9/60*100</f>
        <v>0</v>
      </c>
      <c r="AQ9" s="242">
        <f>+AP9+AN9</f>
        <v>0</v>
      </c>
      <c r="AR9" s="245"/>
      <c r="AS9" s="245"/>
      <c r="AT9" s="245"/>
      <c r="AU9" s="419"/>
      <c r="AZ9" s="189"/>
      <c r="BA9" s="189"/>
      <c r="BB9" s="189"/>
      <c r="BC9" s="189"/>
      <c r="BD9" s="189"/>
      <c r="BE9" s="189"/>
      <c r="BG9" s="145" t="e">
        <f>IF($K9&gt;=0,+SUM(L$9:$L9)-$B9+Sep!$AZ$40+SUM(AQ$9:$AQ9)," ")</f>
        <v>#VALUE!</v>
      </c>
      <c r="BH9" s="144" t="e">
        <f>IF(BG9&lt;0,-1,1)</f>
        <v>#VALUE!</v>
      </c>
      <c r="BI9" s="146" t="e">
        <f>FLOOR(BG9,BH9)</f>
        <v>#VALUE!</v>
      </c>
      <c r="BJ9" s="146" t="e">
        <f>+BG9-BI9</f>
        <v>#VALUE!</v>
      </c>
      <c r="BK9" s="146" t="e">
        <f>+BJ9/100*60</f>
        <v>#VALUE!</v>
      </c>
      <c r="BL9" s="164" t="str">
        <f>IF(BN9=2,+BK9+BI9,"")</f>
        <v/>
      </c>
      <c r="BM9" s="157" t="str">
        <f>+P9</f>
        <v/>
      </c>
      <c r="BN9">
        <f>+IF(BM9="",1,2)</f>
        <v>1</v>
      </c>
    </row>
    <row r="10" spans="1:66" ht="15.95" customHeight="1" x14ac:dyDescent="0.25">
      <c r="A10" s="83"/>
      <c r="B10" s="79">
        <f>IF($I10&lt;&gt;"",IF(WEEKDAY($I10,2)&lt;6,IF(VLOOKUP(WEEKDAY($I10,2),InputUge,3)&gt;0,IF($A10="",VLOOKUP(WEEKDAY($I10,2),InputUge,3)+MAX(B$8:B9),IF($A10&lt;VLOOKUP(WEEKDAY($I10,2),InputUge,3),$A10+MAX(B$8:B9),VLOOKUP(WEEKDAY($I10,2),InputUge,3)+MAX(B$8:B9))),""),""),"")</f>
        <v>7.0633333333333335</v>
      </c>
      <c r="C10" s="144">
        <f t="shared" ref="C10:C38" si="12">IF(B10&lt;0,-1,1)</f>
        <v>1</v>
      </c>
      <c r="D10" s="146">
        <f t="shared" ref="D10:D38" si="13">FLOOR(B10,C10)</f>
        <v>7</v>
      </c>
      <c r="E10" s="146">
        <f t="shared" ref="E10:E38" si="14">+B10-D10</f>
        <v>6.3333333333333464E-2</v>
      </c>
      <c r="F10" s="146">
        <f t="shared" ref="F10:F38" si="15">+E10/100*60</f>
        <v>3.8000000000000075E-2</v>
      </c>
      <c r="G10" s="261">
        <f t="shared" ref="G10:G38" si="16">+F10+D10</f>
        <v>7.0380000000000003</v>
      </c>
      <c r="H10" s="4">
        <v>2</v>
      </c>
      <c r="I10" s="16">
        <f t="shared" ref="I10:I38" si="17">+I9+1</f>
        <v>41519</v>
      </c>
      <c r="J10" s="6">
        <v>0.34826388888888887</v>
      </c>
      <c r="K10" s="6">
        <v>0.64236111111111105</v>
      </c>
      <c r="L10" s="5">
        <f>IF(K10&gt;0,ROUND(((K10-J10)*24)-SUM(BR10:BS10)+BT10,2)+IF(Fredagsfrokost="n",IF(WEEKDAY($I10,2)=5,IF(K10&gt;=0.5,IF(K10&lt;=13/24,0,0),0),0),0),IF(AW10&gt;0,AW10,""))</f>
        <v>7.06</v>
      </c>
      <c r="M10" s="141">
        <f>FLOOR(L10,1)</f>
        <v>7</v>
      </c>
      <c r="N10" s="141">
        <f>+L10-M10</f>
        <v>5.9999999999999609E-2</v>
      </c>
      <c r="O10" s="141">
        <f>+N10/100*60</f>
        <v>3.5999999999999761E-2</v>
      </c>
      <c r="P10" s="162">
        <f>IF(J10="","",O10+M10)</f>
        <v>7.0359999999999996</v>
      </c>
      <c r="Q10" s="591"/>
      <c r="R10" s="592"/>
      <c r="S10" s="592"/>
      <c r="T10" s="593"/>
      <c r="U10" s="417"/>
      <c r="V10" s="240">
        <f t="shared" si="4"/>
        <v>0</v>
      </c>
      <c r="W10" s="240">
        <f t="shared" ref="W10:W38" si="18">+U10-V10</f>
        <v>0</v>
      </c>
      <c r="X10" s="240">
        <f t="shared" si="5"/>
        <v>0</v>
      </c>
      <c r="Y10" s="242">
        <f>+X10+V10</f>
        <v>0</v>
      </c>
      <c r="Z10" s="418"/>
      <c r="AA10" s="418"/>
      <c r="AB10" s="418"/>
      <c r="AC10" s="418"/>
      <c r="AD10" s="417"/>
      <c r="AE10" s="240">
        <f t="shared" si="6"/>
        <v>0</v>
      </c>
      <c r="AF10" s="240">
        <f t="shared" si="7"/>
        <v>0</v>
      </c>
      <c r="AG10" s="240">
        <f t="shared" si="8"/>
        <v>0</v>
      </c>
      <c r="AH10" s="242">
        <f t="shared" ref="AH10:AH38" si="19">+AG10+AE10</f>
        <v>0</v>
      </c>
      <c r="AI10" s="245"/>
      <c r="AJ10" s="245"/>
      <c r="AK10" s="245"/>
      <c r="AL10" s="419"/>
      <c r="AM10" s="472"/>
      <c r="AN10" s="240">
        <f t="shared" si="9"/>
        <v>0</v>
      </c>
      <c r="AO10" s="240">
        <f t="shared" si="10"/>
        <v>0</v>
      </c>
      <c r="AP10" s="240">
        <f t="shared" si="11"/>
        <v>0</v>
      </c>
      <c r="AQ10" s="242">
        <f t="shared" ref="AQ10:AQ38" si="20">+AP10+AN10</f>
        <v>0</v>
      </c>
      <c r="AR10" s="245"/>
      <c r="AS10" s="245"/>
      <c r="AT10" s="245"/>
      <c r="AU10" s="419"/>
      <c r="AZ10" s="189"/>
      <c r="BA10" s="189"/>
      <c r="BB10" s="189"/>
      <c r="BC10" s="189"/>
      <c r="BD10" s="189"/>
      <c r="BE10" s="189"/>
      <c r="BG10" s="145">
        <f>IF($K10&gt;=0,+SUM(L$9:$L10)-$B10+Sep!$AZ$40+SUM(AQ$9:$AQ10)," ")</f>
        <v>-3.3333333333338544E-3</v>
      </c>
      <c r="BH10" s="144">
        <f t="shared" ref="BH10:BH38" si="21">IF(BG10&lt;0,-1,1)</f>
        <v>-1</v>
      </c>
      <c r="BI10" s="146">
        <f t="shared" ref="BI10:BI38" si="22">FLOOR(BG10,BH10)</f>
        <v>0</v>
      </c>
      <c r="BJ10" s="146">
        <f t="shared" ref="BJ10:BJ38" si="23">+BG10-BI10</f>
        <v>-3.3333333333338544E-3</v>
      </c>
      <c r="BK10" s="146">
        <f t="shared" ref="BK10:BK38" si="24">+BJ10/100*60</f>
        <v>-2.0000000000003127E-3</v>
      </c>
      <c r="BL10" s="164">
        <f t="shared" ref="BL10:BL38" si="25">IF(BN10=2,+BK10+BI10,"")</f>
        <v>-2.0000000000003127E-3</v>
      </c>
      <c r="BM10" s="157">
        <f t="shared" ref="BM10:BM38" si="26">+P10</f>
        <v>7.0359999999999996</v>
      </c>
      <c r="BN10">
        <f t="shared" ref="BN10:BN38" si="27">+IF(BM10="",1,2)</f>
        <v>2</v>
      </c>
    </row>
    <row r="11" spans="1:66" ht="15.95" customHeight="1" x14ac:dyDescent="0.25">
      <c r="A11" s="83"/>
      <c r="B11" s="79">
        <f>IF($I11&lt;&gt;"",IF(WEEKDAY($I11,2)&lt;6,IF(VLOOKUP(WEEKDAY($I11,2),InputUge,3)&gt;0,IF($A11="",VLOOKUP(WEEKDAY($I11,2),InputUge,3)+MAX(B$8:B10),IF($A11&lt;VLOOKUP(WEEKDAY($I11,2),InputUge,3),$A11+MAX(B$8:B10),VLOOKUP(WEEKDAY($I11,2),InputUge,3)+MAX(B$8:B10))),""),""),"")</f>
        <v>14.129999999999999</v>
      </c>
      <c r="C11" s="144">
        <f t="shared" si="12"/>
        <v>1</v>
      </c>
      <c r="D11" s="146">
        <f t="shared" si="13"/>
        <v>14</v>
      </c>
      <c r="E11" s="146">
        <f t="shared" si="14"/>
        <v>0.12999999999999901</v>
      </c>
      <c r="F11" s="146">
        <f t="shared" si="15"/>
        <v>7.7999999999999403E-2</v>
      </c>
      <c r="G11" s="261">
        <f t="shared" si="16"/>
        <v>14.077999999999999</v>
      </c>
      <c r="H11" s="4">
        <v>3</v>
      </c>
      <c r="I11" s="16">
        <f t="shared" si="17"/>
        <v>41520</v>
      </c>
      <c r="J11" s="6">
        <v>0.34826388888888887</v>
      </c>
      <c r="K11" s="6">
        <v>0.64265046296296291</v>
      </c>
      <c r="L11" s="5">
        <f>IF(K11&gt;0,ROUND(((K11-J11)*24)-SUM(BR11:BS11)+BT11,2)+IF(Fredagsfrokost="n",IF(WEEKDAY($I11,2)=5,IF(K11&gt;=0.5,IF(K11&lt;=13/24,0,0),0),0),0),IF(AW11&gt;0,AW11,""))</f>
        <v>7.07</v>
      </c>
      <c r="M11" s="141">
        <f t="shared" si="0"/>
        <v>7</v>
      </c>
      <c r="N11" s="141">
        <f t="shared" si="1"/>
        <v>7.0000000000000284E-2</v>
      </c>
      <c r="O11" s="141">
        <f t="shared" si="2"/>
        <v>4.2000000000000169E-2</v>
      </c>
      <c r="P11" s="162">
        <f t="shared" si="3"/>
        <v>7.0419999999999998</v>
      </c>
      <c r="Q11" s="591"/>
      <c r="R11" s="592"/>
      <c r="S11" s="592"/>
      <c r="T11" s="593"/>
      <c r="U11" s="417"/>
      <c r="V11" s="240">
        <f t="shared" si="4"/>
        <v>0</v>
      </c>
      <c r="W11" s="240">
        <f t="shared" si="18"/>
        <v>0</v>
      </c>
      <c r="X11" s="240">
        <f t="shared" si="5"/>
        <v>0</v>
      </c>
      <c r="Y11" s="242">
        <f>+X11+V11</f>
        <v>0</v>
      </c>
      <c r="Z11" s="417"/>
      <c r="AA11" s="417"/>
      <c r="AB11" s="417"/>
      <c r="AC11" s="417"/>
      <c r="AD11" s="417"/>
      <c r="AE11" s="240">
        <f t="shared" si="6"/>
        <v>0</v>
      </c>
      <c r="AF11" s="240">
        <f t="shared" si="7"/>
        <v>0</v>
      </c>
      <c r="AG11" s="240">
        <f t="shared" si="8"/>
        <v>0</v>
      </c>
      <c r="AH11" s="242">
        <f t="shared" si="19"/>
        <v>0</v>
      </c>
      <c r="AI11" s="245"/>
      <c r="AJ11" s="245"/>
      <c r="AK11" s="245"/>
      <c r="AL11" s="420"/>
      <c r="AM11" s="472"/>
      <c r="AN11" s="240">
        <f t="shared" si="9"/>
        <v>0</v>
      </c>
      <c r="AO11" s="240">
        <f t="shared" si="10"/>
        <v>0</v>
      </c>
      <c r="AP11" s="240">
        <f t="shared" si="11"/>
        <v>0</v>
      </c>
      <c r="AQ11" s="242">
        <f t="shared" si="20"/>
        <v>0</v>
      </c>
      <c r="AR11" s="245"/>
      <c r="AS11" s="245"/>
      <c r="AT11" s="245"/>
      <c r="AU11" s="420"/>
      <c r="AZ11" s="189"/>
      <c r="BA11" s="189"/>
      <c r="BB11" s="189"/>
      <c r="BC11" s="189"/>
      <c r="BD11" s="189"/>
      <c r="BE11" s="189"/>
      <c r="BG11" s="145">
        <f>IF($K11&gt;=0,+SUM(L$9:$L11)-$B11+Sep!$AZ$40+SUM(AQ$9:$AQ11)," ")</f>
        <v>0</v>
      </c>
      <c r="BH11" s="144">
        <f t="shared" si="21"/>
        <v>1</v>
      </c>
      <c r="BI11" s="146">
        <f t="shared" si="22"/>
        <v>0</v>
      </c>
      <c r="BJ11" s="146">
        <f t="shared" si="23"/>
        <v>0</v>
      </c>
      <c r="BK11" s="146">
        <f t="shared" si="24"/>
        <v>0</v>
      </c>
      <c r="BL11" s="164">
        <f t="shared" si="25"/>
        <v>0</v>
      </c>
      <c r="BM11" s="157">
        <f t="shared" si="26"/>
        <v>7.0419999999999998</v>
      </c>
      <c r="BN11">
        <f t="shared" si="27"/>
        <v>2</v>
      </c>
    </row>
    <row r="12" spans="1:66" ht="15.95" customHeight="1" x14ac:dyDescent="0.25">
      <c r="A12" s="83"/>
      <c r="B12" s="79">
        <f>IF($I12&lt;&gt;"",IF(WEEKDAY($I12,2)&lt;6,IF(VLOOKUP(WEEKDAY($I12,2),InputUge,3)&gt;0,IF($A12="",VLOOKUP(WEEKDAY($I12,2),InputUge,3)+MAX(B$8:B11),IF($A12&lt;VLOOKUP(WEEKDAY($I12,2),InputUge,3),$A12+MAX(B$8:B11),VLOOKUP(WEEKDAY($I12,2),InputUge,3)+MAX(B$8:B11))),""),""),"")</f>
        <v>21.196666666666665</v>
      </c>
      <c r="C12" s="144">
        <f t="shared" si="12"/>
        <v>1</v>
      </c>
      <c r="D12" s="146">
        <f t="shared" si="13"/>
        <v>21</v>
      </c>
      <c r="E12" s="146">
        <f t="shared" si="14"/>
        <v>0.19666666666666544</v>
      </c>
      <c r="F12" s="146">
        <f t="shared" si="15"/>
        <v>0.11799999999999926</v>
      </c>
      <c r="G12" s="261">
        <f t="shared" si="16"/>
        <v>21.117999999999999</v>
      </c>
      <c r="H12" s="4">
        <v>4</v>
      </c>
      <c r="I12" s="16">
        <f t="shared" si="17"/>
        <v>41521</v>
      </c>
      <c r="J12" s="6">
        <v>0.34791666666666665</v>
      </c>
      <c r="K12" s="6">
        <v>0.64236111111111105</v>
      </c>
      <c r="L12" s="5">
        <f>IF(K12&gt;0,ROUND(((K12-J12)*24)-SUM(BR12:BS12)+BT12,2)+IF(Fredagsfrokost="n",IF(WEEKDAY($I12,2)=5,IF(K12&gt;=0.5,IF(K12&lt;=13/24,0,0),0),0),0),IF(AW12&gt;0,AW12,""))</f>
        <v>7.07</v>
      </c>
      <c r="M12" s="141">
        <f t="shared" si="0"/>
        <v>7</v>
      </c>
      <c r="N12" s="141">
        <f t="shared" si="1"/>
        <v>7.0000000000000284E-2</v>
      </c>
      <c r="O12" s="141">
        <f t="shared" si="2"/>
        <v>4.2000000000000169E-2</v>
      </c>
      <c r="P12" s="162">
        <f t="shared" si="3"/>
        <v>7.0419999999999998</v>
      </c>
      <c r="Q12" s="591"/>
      <c r="R12" s="592"/>
      <c r="S12" s="592"/>
      <c r="T12" s="593"/>
      <c r="U12" s="417"/>
      <c r="V12" s="240">
        <f t="shared" si="4"/>
        <v>0</v>
      </c>
      <c r="W12" s="240">
        <f t="shared" si="18"/>
        <v>0</v>
      </c>
      <c r="X12" s="240">
        <f t="shared" si="5"/>
        <v>0</v>
      </c>
      <c r="Y12" s="242">
        <f>+X12+V12</f>
        <v>0</v>
      </c>
      <c r="Z12" s="417"/>
      <c r="AA12" s="417"/>
      <c r="AB12" s="417"/>
      <c r="AC12" s="417"/>
      <c r="AD12" s="417"/>
      <c r="AE12" s="240">
        <f t="shared" si="6"/>
        <v>0</v>
      </c>
      <c r="AF12" s="240">
        <f t="shared" si="7"/>
        <v>0</v>
      </c>
      <c r="AG12" s="240">
        <f t="shared" si="8"/>
        <v>0</v>
      </c>
      <c r="AH12" s="242">
        <f t="shared" si="19"/>
        <v>0</v>
      </c>
      <c r="AI12" s="245"/>
      <c r="AJ12" s="245"/>
      <c r="AK12" s="245"/>
      <c r="AL12" s="420"/>
      <c r="AM12" s="472"/>
      <c r="AN12" s="240">
        <f t="shared" si="9"/>
        <v>0</v>
      </c>
      <c r="AO12" s="240">
        <f t="shared" si="10"/>
        <v>0</v>
      </c>
      <c r="AP12" s="240">
        <f t="shared" si="11"/>
        <v>0</v>
      </c>
      <c r="AQ12" s="242">
        <f t="shared" si="20"/>
        <v>0</v>
      </c>
      <c r="AR12" s="245"/>
      <c r="AS12" s="245"/>
      <c r="AT12" s="245"/>
      <c r="AU12" s="420"/>
      <c r="AZ12" s="189"/>
      <c r="BA12" s="189"/>
      <c r="BB12" s="189"/>
      <c r="BC12" s="189"/>
      <c r="BD12" s="189"/>
      <c r="BE12" s="189"/>
      <c r="BG12" s="145">
        <f>IF($K12&gt;=0,+SUM(L$9:$L12)-$B12+Sep!$AZ$40+SUM(AQ$9:$AQ12)," ")</f>
        <v>3.3333333333338544E-3</v>
      </c>
      <c r="BH12" s="144">
        <f t="shared" si="21"/>
        <v>1</v>
      </c>
      <c r="BI12" s="146">
        <f t="shared" si="22"/>
        <v>0</v>
      </c>
      <c r="BJ12" s="146">
        <f t="shared" si="23"/>
        <v>3.3333333333338544E-3</v>
      </c>
      <c r="BK12" s="146">
        <f t="shared" si="24"/>
        <v>2.0000000000003127E-3</v>
      </c>
      <c r="BL12" s="164">
        <f>IF(BN12=2,+BK12+BI12,"")</f>
        <v>2.0000000000003127E-3</v>
      </c>
      <c r="BM12" s="157">
        <f>+P12</f>
        <v>7.0419999999999998</v>
      </c>
      <c r="BN12">
        <f t="shared" si="27"/>
        <v>2</v>
      </c>
    </row>
    <row r="13" spans="1:66" ht="15.95" customHeight="1" x14ac:dyDescent="0.25">
      <c r="A13" s="83"/>
      <c r="B13" s="79">
        <f>IF($I13&lt;&gt;"",IF(WEEKDAY($I13,2)&lt;6,IF(VLOOKUP(WEEKDAY($I13,2),InputUge,3)&gt;0,IF($A13="",VLOOKUP(WEEKDAY($I13,2),InputUge,3)+MAX(B$8:B12),IF($A13&lt;VLOOKUP(WEEKDAY($I13,2),InputUge,3),$A13+MAX(B$8:B12),VLOOKUP(WEEKDAY($I13,2),InputUge,3)+MAX(B$8:B12))),""),""),"")</f>
        <v>30.606666666666666</v>
      </c>
      <c r="C13" s="144">
        <f t="shared" si="12"/>
        <v>1</v>
      </c>
      <c r="D13" s="146">
        <f t="shared" si="13"/>
        <v>30</v>
      </c>
      <c r="E13" s="146">
        <f t="shared" si="14"/>
        <v>0.60666666666666558</v>
      </c>
      <c r="F13" s="146">
        <f t="shared" si="15"/>
        <v>0.36399999999999938</v>
      </c>
      <c r="G13" s="261">
        <f t="shared" si="16"/>
        <v>30.364000000000001</v>
      </c>
      <c r="H13" s="4">
        <v>5</v>
      </c>
      <c r="I13" s="16">
        <f t="shared" si="17"/>
        <v>41522</v>
      </c>
      <c r="J13" s="6">
        <v>0.34791666666666665</v>
      </c>
      <c r="K13" s="6">
        <v>0.73958333333333337</v>
      </c>
      <c r="L13" s="5">
        <f>IF(K13&gt;0,ROUND(((K13-J13)*24)-SUM(BR13:BS13)+BT13,2)+IF(Fredagsfrokost="n",IF(WEEKDAY($I13,2)=5,IF(K13&gt;=0.5,IF(K13&lt;=13/24,0,0),0),0),0),IF(AW13&gt;0,AW13,""))</f>
        <v>9.4</v>
      </c>
      <c r="M13" s="141">
        <f t="shared" si="0"/>
        <v>9</v>
      </c>
      <c r="N13" s="141">
        <f t="shared" si="1"/>
        <v>0.40000000000000036</v>
      </c>
      <c r="O13" s="141">
        <f t="shared" si="2"/>
        <v>0.24000000000000021</v>
      </c>
      <c r="P13" s="162">
        <f t="shared" si="3"/>
        <v>9.24</v>
      </c>
      <c r="Q13" s="591"/>
      <c r="R13" s="592"/>
      <c r="S13" s="592"/>
      <c r="T13" s="593"/>
      <c r="U13" s="417"/>
      <c r="V13" s="240">
        <f t="shared" si="4"/>
        <v>0</v>
      </c>
      <c r="W13" s="240">
        <f t="shared" ref="W13:W22" si="28">+U13-V13</f>
        <v>0</v>
      </c>
      <c r="X13" s="240">
        <f t="shared" si="5"/>
        <v>0</v>
      </c>
      <c r="Y13" s="242">
        <f t="shared" ref="Y13:Y22" si="29">+X13+V13</f>
        <v>0</v>
      </c>
      <c r="Z13" s="417"/>
      <c r="AA13" s="417"/>
      <c r="AB13" s="417"/>
      <c r="AC13" s="417"/>
      <c r="AD13" s="417"/>
      <c r="AE13" s="240">
        <f t="shared" si="6"/>
        <v>0</v>
      </c>
      <c r="AF13" s="240">
        <f t="shared" ref="AF13:AF23" si="30">+AD13-AE13</f>
        <v>0</v>
      </c>
      <c r="AG13" s="240">
        <f t="shared" si="8"/>
        <v>0</v>
      </c>
      <c r="AH13" s="242">
        <f t="shared" ref="AH13:AH23" si="31">+AG13+AE13</f>
        <v>0</v>
      </c>
      <c r="AI13" s="245"/>
      <c r="AJ13" s="245"/>
      <c r="AK13" s="245"/>
      <c r="AL13" s="240"/>
      <c r="AM13" s="472"/>
      <c r="AN13" s="240">
        <f t="shared" si="9"/>
        <v>0</v>
      </c>
      <c r="AO13" s="240">
        <f t="shared" si="10"/>
        <v>0</v>
      </c>
      <c r="AP13" s="240">
        <f t="shared" si="11"/>
        <v>0</v>
      </c>
      <c r="AQ13" s="242">
        <f t="shared" si="20"/>
        <v>0</v>
      </c>
      <c r="AR13" s="245"/>
      <c r="AS13" s="245"/>
      <c r="AT13" s="245"/>
      <c r="AU13" s="240"/>
      <c r="AZ13" s="189"/>
      <c r="BA13" s="189"/>
      <c r="BB13" s="189"/>
      <c r="BC13" s="189"/>
      <c r="BD13" s="189"/>
      <c r="BE13" s="189"/>
      <c r="BG13" s="145">
        <f>IF($K13&gt;=0,+SUM(L$9:$L13)-$B13+Sep!$AZ$40+SUM(AQ$9:$AQ13)," ")</f>
        <v>-6.6666666666641561E-3</v>
      </c>
      <c r="BH13" s="144">
        <f t="shared" si="21"/>
        <v>-1</v>
      </c>
      <c r="BI13" s="146">
        <f>FLOOR(BG13,BH13)</f>
        <v>0</v>
      </c>
      <c r="BJ13" s="146">
        <f>+BG13-BI13</f>
        <v>-6.6666666666641561E-3</v>
      </c>
      <c r="BK13" s="146">
        <f t="shared" si="24"/>
        <v>-3.9999999999984935E-3</v>
      </c>
      <c r="BL13" s="164">
        <f>IF(BN13=2,+BK13+BI13,"")</f>
        <v>-3.9999999999984935E-3</v>
      </c>
      <c r="BM13" s="157">
        <f>+P13</f>
        <v>9.24</v>
      </c>
      <c r="BN13">
        <f t="shared" si="27"/>
        <v>2</v>
      </c>
    </row>
    <row r="14" spans="1:66" ht="15.95" customHeight="1" x14ac:dyDescent="0.25">
      <c r="A14" s="83"/>
      <c r="B14" s="79">
        <f>IF($I14&lt;&gt;"",IF(WEEKDAY($I14,2)&lt;6,IF(VLOOKUP(WEEKDAY($I14,2),InputUge,3)&gt;0,IF($A14="",VLOOKUP(WEEKDAY($I14,2),InputUge,3)+MAX(B$8:B13),IF($A14&lt;VLOOKUP(WEEKDAY($I14,2),InputUge,3),$A14+MAX(B$8:B13),VLOOKUP(WEEKDAY($I14,2),InputUge,3)+MAX(B$8:B13))),""),""),"")</f>
        <v>37.006666666666668</v>
      </c>
      <c r="C14" s="144">
        <f t="shared" si="12"/>
        <v>1</v>
      </c>
      <c r="D14" s="146">
        <f t="shared" si="13"/>
        <v>37</v>
      </c>
      <c r="E14" s="146">
        <f t="shared" si="14"/>
        <v>6.6666666666677088E-3</v>
      </c>
      <c r="F14" s="146">
        <f t="shared" si="15"/>
        <v>4.0000000000006255E-3</v>
      </c>
      <c r="G14" s="261">
        <f t="shared" si="16"/>
        <v>37.003999999999998</v>
      </c>
      <c r="H14" s="4">
        <v>6</v>
      </c>
      <c r="I14" s="16">
        <f t="shared" si="17"/>
        <v>41523</v>
      </c>
      <c r="J14" s="6">
        <v>0.34791666666666665</v>
      </c>
      <c r="K14" s="6">
        <v>0.61458333333333337</v>
      </c>
      <c r="L14" s="5">
        <f>IF(K14&gt;0,ROUND(((K14-J14)*24)-SUM(BR14:BS14)+BT14,2)+IF(Fredagsfrokost="n",IF(WEEKDAY($I14,2)=5,IF(K14&gt;=0.5,IF(K14&lt;=13/24,0,0),0),0),0),IF(AW14&gt;0,AW14,""))</f>
        <v>6.4</v>
      </c>
      <c r="M14" s="141">
        <f t="shared" si="0"/>
        <v>6</v>
      </c>
      <c r="N14" s="141">
        <f t="shared" si="1"/>
        <v>0.40000000000000036</v>
      </c>
      <c r="O14" s="141">
        <f t="shared" si="2"/>
        <v>0.24000000000000021</v>
      </c>
      <c r="P14" s="162">
        <f t="shared" si="3"/>
        <v>6.24</v>
      </c>
      <c r="Q14" s="591"/>
      <c r="R14" s="592"/>
      <c r="S14" s="592"/>
      <c r="T14" s="593"/>
      <c r="U14" s="417"/>
      <c r="V14" s="240">
        <f t="shared" si="4"/>
        <v>0</v>
      </c>
      <c r="W14" s="240">
        <f t="shared" si="28"/>
        <v>0</v>
      </c>
      <c r="X14" s="240">
        <f t="shared" si="5"/>
        <v>0</v>
      </c>
      <c r="Y14" s="242">
        <f t="shared" si="29"/>
        <v>0</v>
      </c>
      <c r="Z14" s="417"/>
      <c r="AA14" s="417"/>
      <c r="AB14" s="417"/>
      <c r="AC14" s="417"/>
      <c r="AD14" s="417"/>
      <c r="AE14" s="240">
        <f t="shared" si="6"/>
        <v>0</v>
      </c>
      <c r="AF14" s="240">
        <f t="shared" si="30"/>
        <v>0</v>
      </c>
      <c r="AG14" s="240">
        <f t="shared" si="8"/>
        <v>0</v>
      </c>
      <c r="AH14" s="242">
        <f t="shared" si="31"/>
        <v>0</v>
      </c>
      <c r="AI14" s="245"/>
      <c r="AJ14" s="245"/>
      <c r="AK14" s="245"/>
      <c r="AL14" s="420"/>
      <c r="AM14" s="472"/>
      <c r="AN14" s="240">
        <f t="shared" si="9"/>
        <v>0</v>
      </c>
      <c r="AO14" s="240">
        <f t="shared" si="10"/>
        <v>0</v>
      </c>
      <c r="AP14" s="240">
        <f t="shared" si="11"/>
        <v>0</v>
      </c>
      <c r="AQ14" s="242">
        <f t="shared" si="20"/>
        <v>0</v>
      </c>
      <c r="AR14" s="245"/>
      <c r="AS14" s="245"/>
      <c r="AT14" s="245"/>
      <c r="AU14" s="420"/>
      <c r="AZ14" s="189"/>
      <c r="BA14" s="189"/>
      <c r="BB14" s="189"/>
      <c r="BC14" s="189"/>
      <c r="BD14" s="189"/>
      <c r="BE14" s="189"/>
      <c r="BG14" s="145">
        <f>IF($K14&gt;=0,+SUM(L$9:$L14)-$B14+Sep!$AZ$40+SUM(AQ$9:$AQ14)," ")</f>
        <v>-6.6666666666677088E-3</v>
      </c>
      <c r="BH14" s="144">
        <f t="shared" si="21"/>
        <v>-1</v>
      </c>
      <c r="BI14" s="146">
        <f t="shared" si="22"/>
        <v>0</v>
      </c>
      <c r="BJ14" s="146">
        <f t="shared" si="23"/>
        <v>-6.6666666666677088E-3</v>
      </c>
      <c r="BK14" s="146">
        <f t="shared" si="24"/>
        <v>-4.0000000000006255E-3</v>
      </c>
      <c r="BL14" s="164">
        <f t="shared" si="25"/>
        <v>-4.0000000000006255E-3</v>
      </c>
      <c r="BM14" s="157">
        <f t="shared" si="26"/>
        <v>6.24</v>
      </c>
      <c r="BN14">
        <f t="shared" si="27"/>
        <v>2</v>
      </c>
    </row>
    <row r="15" spans="1:66" ht="15.95" customHeight="1" x14ac:dyDescent="0.25">
      <c r="A15" s="83"/>
      <c r="B15" s="79" t="str">
        <f>IF($I15&lt;&gt;"",IF(WEEKDAY($I15,2)&lt;6,IF(VLOOKUP(WEEKDAY($I15,2),InputUge,3)&gt;0,IF($A15="",VLOOKUP(WEEKDAY($I15,2),InputUge,3)+MAX(B$8:B14),IF($A15&lt;VLOOKUP(WEEKDAY($I15,2),InputUge,3),$A15+MAX(B$8:B14),VLOOKUP(WEEKDAY($I15,2),InputUge,3)+MAX(B$8:B14))),""),""),"")</f>
        <v/>
      </c>
      <c r="C15" s="144">
        <f t="shared" si="12"/>
        <v>1</v>
      </c>
      <c r="D15" s="146" t="e">
        <f t="shared" si="13"/>
        <v>#VALUE!</v>
      </c>
      <c r="E15" s="146" t="e">
        <f t="shared" si="14"/>
        <v>#VALUE!</v>
      </c>
      <c r="F15" s="146" t="e">
        <f t="shared" si="15"/>
        <v>#VALUE!</v>
      </c>
      <c r="G15" s="261"/>
      <c r="H15" s="4">
        <v>7</v>
      </c>
      <c r="I15" s="16">
        <f t="shared" si="17"/>
        <v>41524</v>
      </c>
      <c r="J15" s="6"/>
      <c r="K15" s="6"/>
      <c r="L15" s="5"/>
      <c r="M15" s="141"/>
      <c r="N15" s="141"/>
      <c r="O15" s="141"/>
      <c r="P15" s="162"/>
      <c r="Q15" s="591"/>
      <c r="R15" s="592"/>
      <c r="S15" s="592"/>
      <c r="T15" s="593"/>
      <c r="U15" s="417"/>
      <c r="V15" s="240">
        <f t="shared" si="4"/>
        <v>0</v>
      </c>
      <c r="W15" s="240">
        <f t="shared" si="28"/>
        <v>0</v>
      </c>
      <c r="X15" s="240">
        <f t="shared" si="5"/>
        <v>0</v>
      </c>
      <c r="Y15" s="242">
        <f t="shared" si="29"/>
        <v>0</v>
      </c>
      <c r="Z15" s="417"/>
      <c r="AA15" s="417"/>
      <c r="AB15" s="417"/>
      <c r="AC15" s="417"/>
      <c r="AD15" s="417"/>
      <c r="AE15" s="240">
        <f t="shared" si="6"/>
        <v>0</v>
      </c>
      <c r="AF15" s="240">
        <f t="shared" si="30"/>
        <v>0</v>
      </c>
      <c r="AG15" s="240">
        <f t="shared" si="8"/>
        <v>0</v>
      </c>
      <c r="AH15" s="242">
        <f t="shared" si="31"/>
        <v>0</v>
      </c>
      <c r="AI15" s="245"/>
      <c r="AJ15" s="245"/>
      <c r="AK15" s="245"/>
      <c r="AL15" s="420"/>
      <c r="AM15" s="472"/>
      <c r="AN15" s="240">
        <f t="shared" si="9"/>
        <v>0</v>
      </c>
      <c r="AO15" s="240">
        <f t="shared" si="10"/>
        <v>0</v>
      </c>
      <c r="AP15" s="240">
        <f t="shared" si="11"/>
        <v>0</v>
      </c>
      <c r="AQ15" s="242">
        <f t="shared" si="20"/>
        <v>0</v>
      </c>
      <c r="AR15" s="245"/>
      <c r="AS15" s="245"/>
      <c r="AT15" s="245"/>
      <c r="AU15" s="420"/>
      <c r="AZ15" s="189"/>
      <c r="BA15" s="189"/>
      <c r="BB15" s="189"/>
      <c r="BC15" s="189"/>
      <c r="BD15" s="189"/>
      <c r="BE15" s="189"/>
      <c r="BG15" s="145" t="e">
        <f>IF($K15&gt;=0,+SUM(L$9:$L15)-$B15+Sep!$AZ$40+SUM(AQ$9:$AQ15)," ")</f>
        <v>#VALUE!</v>
      </c>
      <c r="BH15" s="144" t="e">
        <f t="shared" si="21"/>
        <v>#VALUE!</v>
      </c>
      <c r="BI15" s="146" t="e">
        <f t="shared" si="22"/>
        <v>#VALUE!</v>
      </c>
      <c r="BJ15" s="146" t="e">
        <f t="shared" si="23"/>
        <v>#VALUE!</v>
      </c>
      <c r="BK15" s="146" t="e">
        <f t="shared" si="24"/>
        <v>#VALUE!</v>
      </c>
      <c r="BL15" s="164"/>
      <c r="BM15" s="157">
        <f t="shared" si="26"/>
        <v>0</v>
      </c>
      <c r="BN15">
        <f t="shared" si="27"/>
        <v>2</v>
      </c>
    </row>
    <row r="16" spans="1:66" ht="15.95" customHeight="1" x14ac:dyDescent="0.25">
      <c r="A16" s="83"/>
      <c r="B16" s="79" t="str">
        <f>IF($I16&lt;&gt;"",IF(WEEKDAY($I16,2)&lt;6,IF(VLOOKUP(WEEKDAY($I16,2),InputUge,3)&gt;0,IF($A16="",VLOOKUP(WEEKDAY($I16,2),InputUge,3)+MAX(B$8:B15),IF($A16&lt;VLOOKUP(WEEKDAY($I16,2),InputUge,3),$A16+MAX(B$8:B15),VLOOKUP(WEEKDAY($I16,2),InputUge,3)+MAX(B$8:B15))),""),""),"")</f>
        <v/>
      </c>
      <c r="C16" s="144">
        <f t="shared" si="12"/>
        <v>1</v>
      </c>
      <c r="D16" s="146" t="e">
        <f t="shared" si="13"/>
        <v>#VALUE!</v>
      </c>
      <c r="E16" s="146" t="e">
        <f t="shared" si="14"/>
        <v>#VALUE!</v>
      </c>
      <c r="F16" s="146" t="e">
        <f t="shared" si="15"/>
        <v>#VALUE!</v>
      </c>
      <c r="G16" s="261"/>
      <c r="H16" s="4">
        <v>8</v>
      </c>
      <c r="I16" s="16">
        <f t="shared" si="17"/>
        <v>41525</v>
      </c>
      <c r="J16" s="6"/>
      <c r="K16" s="6"/>
      <c r="L16" s="5"/>
      <c r="M16" s="141">
        <f t="shared" si="0"/>
        <v>0</v>
      </c>
      <c r="N16" s="141">
        <f t="shared" si="1"/>
        <v>0</v>
      </c>
      <c r="O16" s="141">
        <f t="shared" si="2"/>
        <v>0</v>
      </c>
      <c r="P16" s="141" t="str">
        <f t="shared" si="3"/>
        <v/>
      </c>
      <c r="Q16" s="591"/>
      <c r="R16" s="592"/>
      <c r="S16" s="592"/>
      <c r="T16" s="593"/>
      <c r="U16" s="417"/>
      <c r="V16" s="240">
        <f t="shared" si="4"/>
        <v>0</v>
      </c>
      <c r="W16" s="240">
        <f t="shared" si="28"/>
        <v>0</v>
      </c>
      <c r="X16" s="240">
        <f t="shared" si="5"/>
        <v>0</v>
      </c>
      <c r="Y16" s="242">
        <f t="shared" si="29"/>
        <v>0</v>
      </c>
      <c r="Z16" s="417"/>
      <c r="AA16" s="417"/>
      <c r="AB16" s="417"/>
      <c r="AC16" s="417"/>
      <c r="AD16" s="417"/>
      <c r="AE16" s="240">
        <f t="shared" si="6"/>
        <v>0</v>
      </c>
      <c r="AF16" s="240">
        <f t="shared" si="30"/>
        <v>0</v>
      </c>
      <c r="AG16" s="240">
        <f t="shared" si="8"/>
        <v>0</v>
      </c>
      <c r="AH16" s="242">
        <f t="shared" si="31"/>
        <v>0</v>
      </c>
      <c r="AI16" s="245"/>
      <c r="AJ16" s="245"/>
      <c r="AK16" s="245"/>
      <c r="AL16" s="420"/>
      <c r="AM16" s="472"/>
      <c r="AN16" s="240">
        <f t="shared" si="9"/>
        <v>0</v>
      </c>
      <c r="AO16" s="240">
        <f t="shared" si="10"/>
        <v>0</v>
      </c>
      <c r="AP16" s="240">
        <f t="shared" si="11"/>
        <v>0</v>
      </c>
      <c r="AQ16" s="242">
        <f t="shared" si="20"/>
        <v>0</v>
      </c>
      <c r="AR16" s="245"/>
      <c r="AS16" s="245"/>
      <c r="AT16" s="245"/>
      <c r="AU16" s="420"/>
      <c r="AZ16" s="189"/>
      <c r="BA16" s="189"/>
      <c r="BB16" s="189"/>
      <c r="BC16" s="189"/>
      <c r="BD16" s="189"/>
      <c r="BE16" s="189"/>
      <c r="BG16" s="145" t="e">
        <f>IF($K16&gt;=0,+SUM(L$9:$L16)-$B16+Sep!$AZ$40+SUM(AQ$9:$AQ16)," ")</f>
        <v>#VALUE!</v>
      </c>
      <c r="BH16" s="144" t="e">
        <f t="shared" si="21"/>
        <v>#VALUE!</v>
      </c>
      <c r="BI16" s="146" t="e">
        <f t="shared" si="22"/>
        <v>#VALUE!</v>
      </c>
      <c r="BJ16" s="146" t="e">
        <f t="shared" si="23"/>
        <v>#VALUE!</v>
      </c>
      <c r="BK16" s="146" t="e">
        <f t="shared" si="24"/>
        <v>#VALUE!</v>
      </c>
      <c r="BL16" s="164" t="str">
        <f t="shared" si="25"/>
        <v/>
      </c>
      <c r="BM16" s="157" t="str">
        <f t="shared" si="26"/>
        <v/>
      </c>
      <c r="BN16">
        <f t="shared" si="27"/>
        <v>1</v>
      </c>
    </row>
    <row r="17" spans="1:66" ht="15.95" customHeight="1" x14ac:dyDescent="0.25">
      <c r="A17" s="83"/>
      <c r="B17" s="79">
        <f>IF($I17&lt;&gt;"",IF(WEEKDAY($I17,2)&lt;6,IF(VLOOKUP(WEEKDAY($I17,2),InputUge,3)&gt;0,IF($A17="",VLOOKUP(WEEKDAY($I17,2),InputUge,3)+MAX(B$8:B16),IF($A17&lt;VLOOKUP(WEEKDAY($I17,2),InputUge,3),$A17+MAX(B$8:B16),VLOOKUP(WEEKDAY($I17,2),InputUge,3)+MAX(B$8:B16))),""),""),"")</f>
        <v>44.07</v>
      </c>
      <c r="C17" s="144">
        <f t="shared" si="12"/>
        <v>1</v>
      </c>
      <c r="D17" s="146">
        <f t="shared" si="13"/>
        <v>44</v>
      </c>
      <c r="E17" s="146">
        <f t="shared" si="14"/>
        <v>7.0000000000000284E-2</v>
      </c>
      <c r="F17" s="146">
        <f t="shared" si="15"/>
        <v>4.2000000000000169E-2</v>
      </c>
      <c r="G17" s="261">
        <f t="shared" si="16"/>
        <v>44.042000000000002</v>
      </c>
      <c r="H17" s="4">
        <v>9</v>
      </c>
      <c r="I17" s="16">
        <f t="shared" si="17"/>
        <v>41526</v>
      </c>
      <c r="J17" s="6">
        <v>0.34826388888888887</v>
      </c>
      <c r="K17" s="6">
        <v>0.64265046296296291</v>
      </c>
      <c r="L17" s="5">
        <f>IF(K17&gt;0,ROUND(((K17-J17)*24)-SUM(BR17:BS17)+BT17,2)+IF(Fredagsfrokost="n",IF(WEEKDAY($I17,2)=5,IF(K17&gt;=0.5,IF(K17&lt;=13/24,0,0),0),0),0),IF(AW17&gt;0,AW17,""))</f>
        <v>7.07</v>
      </c>
      <c r="M17" s="141">
        <f>FLOOR(L17,1)</f>
        <v>7</v>
      </c>
      <c r="N17" s="141">
        <f>+L17-M17</f>
        <v>7.0000000000000284E-2</v>
      </c>
      <c r="O17" s="141">
        <f>+N17/100*60</f>
        <v>4.2000000000000169E-2</v>
      </c>
      <c r="P17" s="162">
        <f>IF(J17="","",O17+M17)</f>
        <v>7.0419999999999998</v>
      </c>
      <c r="Q17" s="591"/>
      <c r="R17" s="592"/>
      <c r="S17" s="592"/>
      <c r="T17" s="593"/>
      <c r="U17" s="417"/>
      <c r="V17" s="240">
        <f t="shared" si="4"/>
        <v>0</v>
      </c>
      <c r="W17" s="240">
        <f t="shared" si="28"/>
        <v>0</v>
      </c>
      <c r="X17" s="240">
        <f t="shared" si="5"/>
        <v>0</v>
      </c>
      <c r="Y17" s="242">
        <f t="shared" si="29"/>
        <v>0</v>
      </c>
      <c r="Z17" s="417"/>
      <c r="AA17" s="417"/>
      <c r="AB17" s="417"/>
      <c r="AC17" s="417"/>
      <c r="AD17" s="417"/>
      <c r="AE17" s="240">
        <f t="shared" si="6"/>
        <v>0</v>
      </c>
      <c r="AF17" s="240">
        <f t="shared" si="30"/>
        <v>0</v>
      </c>
      <c r="AG17" s="240">
        <f t="shared" si="8"/>
        <v>0</v>
      </c>
      <c r="AH17" s="242">
        <f t="shared" si="31"/>
        <v>0</v>
      </c>
      <c r="AI17" s="245"/>
      <c r="AJ17" s="245"/>
      <c r="AK17" s="245"/>
      <c r="AL17" s="420"/>
      <c r="AM17" s="472"/>
      <c r="AN17" s="240">
        <f t="shared" si="9"/>
        <v>0</v>
      </c>
      <c r="AO17" s="240">
        <f t="shared" si="10"/>
        <v>0</v>
      </c>
      <c r="AP17" s="240">
        <f t="shared" si="11"/>
        <v>0</v>
      </c>
      <c r="AQ17" s="242">
        <f t="shared" si="20"/>
        <v>0</v>
      </c>
      <c r="AR17" s="245"/>
      <c r="AS17" s="245"/>
      <c r="AT17" s="245"/>
      <c r="AU17" s="420"/>
      <c r="AZ17" s="189"/>
      <c r="BA17" s="189"/>
      <c r="BB17" s="189"/>
      <c r="BC17" s="189"/>
      <c r="BD17" s="189"/>
      <c r="BE17" s="189"/>
      <c r="BG17" s="145">
        <f>IF($K17&gt;=0,+SUM(L$9:$L17)-$B17+Sep!$AZ$40+SUM(AQ$9:$AQ17)," ")</f>
        <v>0</v>
      </c>
      <c r="BH17" s="144">
        <f t="shared" si="21"/>
        <v>1</v>
      </c>
      <c r="BI17" s="146">
        <f t="shared" si="22"/>
        <v>0</v>
      </c>
      <c r="BJ17" s="146">
        <f t="shared" si="23"/>
        <v>0</v>
      </c>
      <c r="BK17" s="146">
        <f t="shared" si="24"/>
        <v>0</v>
      </c>
      <c r="BL17" s="164">
        <f t="shared" si="25"/>
        <v>0</v>
      </c>
      <c r="BM17" s="157">
        <f t="shared" si="26"/>
        <v>7.0419999999999998</v>
      </c>
      <c r="BN17">
        <f t="shared" si="27"/>
        <v>2</v>
      </c>
    </row>
    <row r="18" spans="1:66" ht="15.95" customHeight="1" x14ac:dyDescent="0.25">
      <c r="A18" s="83"/>
      <c r="B18" s="79">
        <f>IF($I18&lt;&gt;"",IF(WEEKDAY($I18,2)&lt;6,IF(VLOOKUP(WEEKDAY($I18,2),InputUge,3)&gt;0,IF($A18="",VLOOKUP(WEEKDAY($I18,2),InputUge,3)+MAX(B$8:B17),IF($A18&lt;VLOOKUP(WEEKDAY($I18,2),InputUge,3),$A18+MAX(B$8:B17),VLOOKUP(WEEKDAY($I18,2),InputUge,3)+MAX(B$8:B17))),""),""),"")</f>
        <v>51.13666666666667</v>
      </c>
      <c r="C18" s="144">
        <f t="shared" si="12"/>
        <v>1</v>
      </c>
      <c r="D18" s="146">
        <f t="shared" si="13"/>
        <v>51</v>
      </c>
      <c r="E18" s="146">
        <f t="shared" si="14"/>
        <v>0.13666666666667027</v>
      </c>
      <c r="F18" s="146">
        <f t="shared" si="15"/>
        <v>8.2000000000002154E-2</v>
      </c>
      <c r="G18" s="261">
        <f t="shared" si="16"/>
        <v>51.082000000000001</v>
      </c>
      <c r="H18" s="4">
        <v>10</v>
      </c>
      <c r="I18" s="16">
        <f t="shared" si="17"/>
        <v>41527</v>
      </c>
      <c r="J18" s="6">
        <v>0.34826388888888887</v>
      </c>
      <c r="K18" s="6">
        <v>0.64265046296296291</v>
      </c>
      <c r="L18" s="5">
        <f>IF(K18&gt;0,ROUND(((K18-J18)*24)-SUM(BR18:BS18)+BT18,2)+IF(Fredagsfrokost="n",IF(WEEKDAY($I18,2)=5,IF(K18&gt;=0.5,IF(K18&lt;=13/24,0,0),0),0),0),IF(AW18&gt;0,AW18,""))</f>
        <v>7.07</v>
      </c>
      <c r="M18" s="141">
        <f t="shared" si="0"/>
        <v>7</v>
      </c>
      <c r="N18" s="141">
        <f t="shared" si="1"/>
        <v>7.0000000000000284E-2</v>
      </c>
      <c r="O18" s="141">
        <f t="shared" si="2"/>
        <v>4.2000000000000169E-2</v>
      </c>
      <c r="P18" s="162">
        <f t="shared" si="3"/>
        <v>7.0419999999999998</v>
      </c>
      <c r="Q18" s="591"/>
      <c r="R18" s="592"/>
      <c r="S18" s="592"/>
      <c r="T18" s="593"/>
      <c r="U18" s="417"/>
      <c r="V18" s="240">
        <f t="shared" si="4"/>
        <v>0</v>
      </c>
      <c r="W18" s="240">
        <f t="shared" si="28"/>
        <v>0</v>
      </c>
      <c r="X18" s="240">
        <f t="shared" si="5"/>
        <v>0</v>
      </c>
      <c r="Y18" s="242">
        <f t="shared" si="29"/>
        <v>0</v>
      </c>
      <c r="Z18" s="417"/>
      <c r="AA18" s="417"/>
      <c r="AB18" s="417"/>
      <c r="AC18" s="417"/>
      <c r="AD18" s="417"/>
      <c r="AE18" s="240">
        <f t="shared" si="6"/>
        <v>0</v>
      </c>
      <c r="AF18" s="240">
        <f t="shared" si="30"/>
        <v>0</v>
      </c>
      <c r="AG18" s="240">
        <f t="shared" si="8"/>
        <v>0</v>
      </c>
      <c r="AH18" s="242">
        <f t="shared" si="31"/>
        <v>0</v>
      </c>
      <c r="AI18" s="245"/>
      <c r="AJ18" s="245"/>
      <c r="AK18" s="245"/>
      <c r="AL18" s="420"/>
      <c r="AM18" s="472"/>
      <c r="AN18" s="240">
        <f t="shared" si="9"/>
        <v>0</v>
      </c>
      <c r="AO18" s="240">
        <f t="shared" si="10"/>
        <v>0</v>
      </c>
      <c r="AP18" s="240">
        <f t="shared" si="11"/>
        <v>0</v>
      </c>
      <c r="AQ18" s="242">
        <f t="shared" si="20"/>
        <v>0</v>
      </c>
      <c r="AR18" s="245"/>
      <c r="AS18" s="245"/>
      <c r="AT18" s="245"/>
      <c r="AU18" s="420"/>
      <c r="AZ18" s="189"/>
      <c r="BA18" s="189"/>
      <c r="BB18" s="189"/>
      <c r="BC18" s="189"/>
      <c r="BD18" s="189"/>
      <c r="BE18" s="189"/>
      <c r="BG18" s="145">
        <f>IF($K18&gt;=0,+SUM(L$9:$L18)-$B18+Sep!$AZ$40+SUM(AQ$9:$AQ18)," ")</f>
        <v>3.3333333333303017E-3</v>
      </c>
      <c r="BH18" s="144">
        <f t="shared" si="21"/>
        <v>1</v>
      </c>
      <c r="BI18" s="146">
        <f t="shared" si="22"/>
        <v>0</v>
      </c>
      <c r="BJ18" s="146">
        <f t="shared" si="23"/>
        <v>3.3333333333303017E-3</v>
      </c>
      <c r="BK18" s="146">
        <f t="shared" si="24"/>
        <v>1.9999999999981812E-3</v>
      </c>
      <c r="BL18" s="164">
        <f t="shared" si="25"/>
        <v>1.9999999999981812E-3</v>
      </c>
      <c r="BM18" s="157">
        <f t="shared" si="26"/>
        <v>7.0419999999999998</v>
      </c>
      <c r="BN18">
        <f t="shared" si="27"/>
        <v>2</v>
      </c>
    </row>
    <row r="19" spans="1:66" ht="15.95" customHeight="1" x14ac:dyDescent="0.25">
      <c r="A19" s="83"/>
      <c r="B19" s="79">
        <f>IF($I19&lt;&gt;"",IF(WEEKDAY($I19,2)&lt;6,IF(VLOOKUP(WEEKDAY($I19,2),InputUge,3)&gt;0,IF($A19="",VLOOKUP(WEEKDAY($I19,2),InputUge,3)+MAX(B$8:B18),IF($A19&lt;VLOOKUP(WEEKDAY($I19,2),InputUge,3),$A19+MAX(B$8:B18),VLOOKUP(WEEKDAY($I19,2),InputUge,3)+MAX(B$8:B18))),""),""),"")</f>
        <v>58.203333333333333</v>
      </c>
      <c r="C19" s="144">
        <f t="shared" si="12"/>
        <v>1</v>
      </c>
      <c r="D19" s="146">
        <f t="shared" si="13"/>
        <v>58</v>
      </c>
      <c r="E19" s="146">
        <f t="shared" si="14"/>
        <v>0.20333333333333314</v>
      </c>
      <c r="F19" s="146">
        <f t="shared" si="15"/>
        <v>0.12199999999999989</v>
      </c>
      <c r="G19" s="261">
        <f t="shared" si="16"/>
        <v>58.122</v>
      </c>
      <c r="H19" s="4">
        <v>11</v>
      </c>
      <c r="I19" s="16">
        <f t="shared" si="17"/>
        <v>41528</v>
      </c>
      <c r="J19" s="6">
        <v>0.34791666666666665</v>
      </c>
      <c r="K19" s="6">
        <v>0.64236111111111105</v>
      </c>
      <c r="L19" s="5">
        <f>IF(K19&gt;0,ROUND(((K19-J19)*24)-SUM(BR19:BS19)+BT19,2)+IF(Fredagsfrokost="n",IF(WEEKDAY($I19,2)=5,IF(K19&gt;=0.5,IF(K19&lt;=13/24,0,0),0),0),0),IF(AW19&gt;0,AW19,""))</f>
        <v>7.07</v>
      </c>
      <c r="M19" s="141">
        <f t="shared" si="0"/>
        <v>7</v>
      </c>
      <c r="N19" s="141">
        <f t="shared" si="1"/>
        <v>7.0000000000000284E-2</v>
      </c>
      <c r="O19" s="141">
        <f t="shared" si="2"/>
        <v>4.2000000000000169E-2</v>
      </c>
      <c r="P19" s="162">
        <f t="shared" si="3"/>
        <v>7.0419999999999998</v>
      </c>
      <c r="Q19" s="591"/>
      <c r="R19" s="592"/>
      <c r="S19" s="592"/>
      <c r="T19" s="593"/>
      <c r="U19" s="417"/>
      <c r="V19" s="240">
        <f t="shared" si="4"/>
        <v>0</v>
      </c>
      <c r="W19" s="240">
        <f t="shared" si="28"/>
        <v>0</v>
      </c>
      <c r="X19" s="240">
        <f t="shared" si="5"/>
        <v>0</v>
      </c>
      <c r="Y19" s="242">
        <f t="shared" si="29"/>
        <v>0</v>
      </c>
      <c r="Z19" s="417"/>
      <c r="AA19" s="417"/>
      <c r="AB19" s="417"/>
      <c r="AC19" s="417"/>
      <c r="AD19" s="417"/>
      <c r="AE19" s="240">
        <f t="shared" si="6"/>
        <v>0</v>
      </c>
      <c r="AF19" s="240">
        <f t="shared" si="30"/>
        <v>0</v>
      </c>
      <c r="AG19" s="240">
        <f t="shared" si="8"/>
        <v>0</v>
      </c>
      <c r="AH19" s="242">
        <f t="shared" si="31"/>
        <v>0</v>
      </c>
      <c r="AI19" s="245"/>
      <c r="AJ19" s="245"/>
      <c r="AK19" s="245"/>
      <c r="AL19" s="420"/>
      <c r="AM19" s="472"/>
      <c r="AN19" s="240">
        <f t="shared" si="9"/>
        <v>0</v>
      </c>
      <c r="AO19" s="240">
        <f t="shared" si="10"/>
        <v>0</v>
      </c>
      <c r="AP19" s="240">
        <f t="shared" si="11"/>
        <v>0</v>
      </c>
      <c r="AQ19" s="242">
        <f t="shared" si="20"/>
        <v>0</v>
      </c>
      <c r="AR19" s="245"/>
      <c r="AS19" s="245"/>
      <c r="AT19" s="245"/>
      <c r="AU19" s="420"/>
      <c r="AZ19" s="189"/>
      <c r="BA19" s="189"/>
      <c r="BB19" s="189"/>
      <c r="BC19" s="189"/>
      <c r="BD19" s="189"/>
      <c r="BE19" s="189"/>
      <c r="BG19" s="145">
        <f>IF($K19&gt;=0,+SUM(L$9:$L19)-$B19+Sep!$AZ$40+SUM(AQ$9:$AQ19)," ")</f>
        <v>6.6666666666677088E-3</v>
      </c>
      <c r="BH19" s="144">
        <f t="shared" si="21"/>
        <v>1</v>
      </c>
      <c r="BI19" s="146">
        <f t="shared" si="22"/>
        <v>0</v>
      </c>
      <c r="BJ19" s="146">
        <f t="shared" si="23"/>
        <v>6.6666666666677088E-3</v>
      </c>
      <c r="BK19" s="146">
        <f t="shared" si="24"/>
        <v>4.0000000000006255E-3</v>
      </c>
      <c r="BL19" s="164">
        <f t="shared" si="25"/>
        <v>4.0000000000006255E-3</v>
      </c>
      <c r="BM19" s="157">
        <f t="shared" si="26"/>
        <v>7.0419999999999998</v>
      </c>
      <c r="BN19">
        <f t="shared" si="27"/>
        <v>2</v>
      </c>
    </row>
    <row r="20" spans="1:66" ht="15.95" customHeight="1" x14ac:dyDescent="0.25">
      <c r="A20" s="83"/>
      <c r="B20" s="79">
        <f>IF($I20&lt;&gt;"",IF(WEEKDAY($I20,2)&lt;6,IF(VLOOKUP(WEEKDAY($I20,2),InputUge,3)&gt;0,IF($A20="",VLOOKUP(WEEKDAY($I20,2),InputUge,3)+MAX(B$8:B19),IF($A20&lt;VLOOKUP(WEEKDAY($I20,2),InputUge,3),$A20+MAX(B$8:B19),VLOOKUP(WEEKDAY($I20,2),InputUge,3)+MAX(B$8:B19))),""),""),"")</f>
        <v>67.61333333333333</v>
      </c>
      <c r="C20" s="144">
        <f t="shared" si="12"/>
        <v>1</v>
      </c>
      <c r="D20" s="146">
        <f t="shared" si="13"/>
        <v>67</v>
      </c>
      <c r="E20" s="146">
        <f t="shared" si="14"/>
        <v>0.61333333333332973</v>
      </c>
      <c r="F20" s="146">
        <f t="shared" si="15"/>
        <v>0.36799999999999783</v>
      </c>
      <c r="G20" s="261">
        <f t="shared" si="16"/>
        <v>67.367999999999995</v>
      </c>
      <c r="H20" s="4">
        <v>12</v>
      </c>
      <c r="I20" s="16">
        <f t="shared" si="17"/>
        <v>41529</v>
      </c>
      <c r="J20" s="6">
        <v>0.34791666666666665</v>
      </c>
      <c r="K20" s="6">
        <v>0.73958333333333337</v>
      </c>
      <c r="L20" s="5">
        <f>IF(K20&gt;0,ROUND(((K20-J20)*24)-SUM(BR20:BS20)+BT20,2)+IF(Fredagsfrokost="n",IF(WEEKDAY($I20,2)=5,IF(K20&gt;=0.5,IF(K20&lt;=13/24,0,0),0),0),0),IF(AW20&gt;0,AW20,""))</f>
        <v>9.4</v>
      </c>
      <c r="M20" s="141">
        <f t="shared" si="0"/>
        <v>9</v>
      </c>
      <c r="N20" s="141">
        <f t="shared" si="1"/>
        <v>0.40000000000000036</v>
      </c>
      <c r="O20" s="141">
        <f t="shared" si="2"/>
        <v>0.24000000000000021</v>
      </c>
      <c r="P20" s="162">
        <f t="shared" si="3"/>
        <v>9.24</v>
      </c>
      <c r="Q20" s="591"/>
      <c r="R20" s="592"/>
      <c r="S20" s="592"/>
      <c r="T20" s="593"/>
      <c r="U20" s="417"/>
      <c r="V20" s="240">
        <f t="shared" si="4"/>
        <v>0</v>
      </c>
      <c r="W20" s="240">
        <f t="shared" si="28"/>
        <v>0</v>
      </c>
      <c r="X20" s="240">
        <f t="shared" si="5"/>
        <v>0</v>
      </c>
      <c r="Y20" s="242">
        <f t="shared" si="29"/>
        <v>0</v>
      </c>
      <c r="Z20" s="417"/>
      <c r="AA20" s="417"/>
      <c r="AB20" s="417"/>
      <c r="AC20" s="417"/>
      <c r="AD20" s="417"/>
      <c r="AE20" s="240">
        <f t="shared" si="6"/>
        <v>0</v>
      </c>
      <c r="AF20" s="240">
        <f t="shared" si="30"/>
        <v>0</v>
      </c>
      <c r="AG20" s="240">
        <f t="shared" si="8"/>
        <v>0</v>
      </c>
      <c r="AH20" s="242">
        <f t="shared" si="31"/>
        <v>0</v>
      </c>
      <c r="AI20" s="245"/>
      <c r="AJ20" s="245"/>
      <c r="AK20" s="245"/>
      <c r="AL20" s="420"/>
      <c r="AM20" s="472"/>
      <c r="AN20" s="240">
        <f t="shared" si="9"/>
        <v>0</v>
      </c>
      <c r="AO20" s="240">
        <f t="shared" si="10"/>
        <v>0</v>
      </c>
      <c r="AP20" s="240">
        <f t="shared" si="11"/>
        <v>0</v>
      </c>
      <c r="AQ20" s="242">
        <f t="shared" si="20"/>
        <v>0</v>
      </c>
      <c r="AR20" s="245"/>
      <c r="AS20" s="245"/>
      <c r="AT20" s="245"/>
      <c r="AU20" s="420"/>
      <c r="AZ20" s="189"/>
      <c r="BA20" s="189"/>
      <c r="BB20" s="189"/>
      <c r="BC20" s="189"/>
      <c r="BD20" s="189"/>
      <c r="BE20" s="189"/>
      <c r="BG20" s="145">
        <f>IF($K20&gt;=0,+SUM(L$9:$L20)-$B20+Sep!$AZ$40+SUM(AQ$9:$AQ20)," ")</f>
        <v>-3.3333333333303017E-3</v>
      </c>
      <c r="BH20" s="144">
        <f t="shared" si="21"/>
        <v>-1</v>
      </c>
      <c r="BI20" s="146">
        <f t="shared" si="22"/>
        <v>0</v>
      </c>
      <c r="BJ20" s="146">
        <f t="shared" si="23"/>
        <v>-3.3333333333303017E-3</v>
      </c>
      <c r="BK20" s="146">
        <f t="shared" si="24"/>
        <v>-1.9999999999981812E-3</v>
      </c>
      <c r="BL20" s="164">
        <f>IF(BN20=2,+BK20+BI20,"")</f>
        <v>-1.9999999999981812E-3</v>
      </c>
      <c r="BM20" s="157">
        <f t="shared" si="26"/>
        <v>9.24</v>
      </c>
      <c r="BN20">
        <f t="shared" si="27"/>
        <v>2</v>
      </c>
    </row>
    <row r="21" spans="1:66" ht="15.95" customHeight="1" x14ac:dyDescent="0.25">
      <c r="A21" s="83"/>
      <c r="B21" s="79">
        <f>IF($I21&lt;&gt;"",IF(WEEKDAY($I21,2)&lt;6,IF(VLOOKUP(WEEKDAY($I21,2),InputUge,3)&gt;0,IF($A21="",VLOOKUP(WEEKDAY($I21,2),InputUge,3)+MAX(B$8:B20),IF($A21&lt;VLOOKUP(WEEKDAY($I21,2),InputUge,3),$A21+MAX(B$8:B20),VLOOKUP(WEEKDAY($I21,2),InputUge,3)+MAX(B$8:B20))),""),""),"")</f>
        <v>74.013333333333335</v>
      </c>
      <c r="C21" s="144">
        <f t="shared" si="12"/>
        <v>1</v>
      </c>
      <c r="D21" s="146">
        <f t="shared" si="13"/>
        <v>74</v>
      </c>
      <c r="E21" s="146">
        <f t="shared" si="14"/>
        <v>1.3333333333335418E-2</v>
      </c>
      <c r="F21" s="146">
        <f t="shared" si="15"/>
        <v>8.0000000000012509E-3</v>
      </c>
      <c r="G21" s="261">
        <f t="shared" si="16"/>
        <v>74.007999999999996</v>
      </c>
      <c r="H21" s="4">
        <v>13</v>
      </c>
      <c r="I21" s="16">
        <f t="shared" si="17"/>
        <v>41530</v>
      </c>
      <c r="J21" s="6">
        <v>0.34791666666666665</v>
      </c>
      <c r="K21" s="6">
        <v>0.61458333333333337</v>
      </c>
      <c r="L21" s="5">
        <f>IF(K21&gt;0,ROUND(((K21-J21)*24)-SUM(BR21:BS21)+BT21,2)+IF(Fredagsfrokost="n",IF(WEEKDAY($I21,2)=5,IF(K21&gt;=0.5,IF(K21&lt;=13/24,0,0),0),0),0),IF(AW21&gt;0,AW21,""))</f>
        <v>6.4</v>
      </c>
      <c r="M21" s="141">
        <f t="shared" si="0"/>
        <v>6</v>
      </c>
      <c r="N21" s="141">
        <f t="shared" si="1"/>
        <v>0.40000000000000036</v>
      </c>
      <c r="O21" s="141">
        <f t="shared" si="2"/>
        <v>0.24000000000000021</v>
      </c>
      <c r="P21" s="162">
        <f t="shared" si="3"/>
        <v>6.24</v>
      </c>
      <c r="Q21" s="591"/>
      <c r="R21" s="592"/>
      <c r="S21" s="592"/>
      <c r="T21" s="593"/>
      <c r="U21" s="417"/>
      <c r="V21" s="240">
        <f t="shared" si="4"/>
        <v>0</v>
      </c>
      <c r="W21" s="240">
        <f t="shared" si="28"/>
        <v>0</v>
      </c>
      <c r="X21" s="240">
        <f t="shared" si="5"/>
        <v>0</v>
      </c>
      <c r="Y21" s="242">
        <f t="shared" si="29"/>
        <v>0</v>
      </c>
      <c r="Z21" s="417"/>
      <c r="AA21" s="417"/>
      <c r="AB21" s="417"/>
      <c r="AC21" s="417"/>
      <c r="AD21" s="417"/>
      <c r="AE21" s="240">
        <f t="shared" si="6"/>
        <v>0</v>
      </c>
      <c r="AF21" s="240">
        <f t="shared" si="30"/>
        <v>0</v>
      </c>
      <c r="AG21" s="240">
        <f t="shared" si="8"/>
        <v>0</v>
      </c>
      <c r="AH21" s="242">
        <f t="shared" si="31"/>
        <v>0</v>
      </c>
      <c r="AI21" s="245"/>
      <c r="AJ21" s="245"/>
      <c r="AK21" s="245"/>
      <c r="AL21" s="420"/>
      <c r="AM21" s="472"/>
      <c r="AN21" s="240">
        <f t="shared" si="9"/>
        <v>0</v>
      </c>
      <c r="AO21" s="240">
        <f t="shared" si="10"/>
        <v>0</v>
      </c>
      <c r="AP21" s="240">
        <f t="shared" si="11"/>
        <v>0</v>
      </c>
      <c r="AQ21" s="242">
        <f t="shared" si="20"/>
        <v>0</v>
      </c>
      <c r="AR21" s="245"/>
      <c r="AS21" s="245"/>
      <c r="AT21" s="245"/>
      <c r="AU21" s="420"/>
      <c r="AZ21" s="189"/>
      <c r="BA21" s="189"/>
      <c r="BB21" s="189"/>
      <c r="BC21" s="189"/>
      <c r="BD21" s="189"/>
      <c r="BE21" s="189"/>
      <c r="BG21" s="145">
        <f>IF($K21&gt;=0,+SUM(L$9:$L21)-$B21+Sep!$AZ$40+SUM(AQ$9:$AQ21)," ")</f>
        <v>-3.3333333333303017E-3</v>
      </c>
      <c r="BH21" s="144">
        <f t="shared" si="21"/>
        <v>-1</v>
      </c>
      <c r="BI21" s="146">
        <f t="shared" si="22"/>
        <v>0</v>
      </c>
      <c r="BJ21" s="146">
        <f t="shared" si="23"/>
        <v>-3.3333333333303017E-3</v>
      </c>
      <c r="BK21" s="146">
        <f t="shared" si="24"/>
        <v>-1.9999999999981812E-3</v>
      </c>
      <c r="BL21" s="164">
        <f t="shared" si="25"/>
        <v>-1.9999999999981812E-3</v>
      </c>
      <c r="BM21" s="157">
        <f t="shared" si="26"/>
        <v>6.24</v>
      </c>
      <c r="BN21">
        <f t="shared" si="27"/>
        <v>2</v>
      </c>
    </row>
    <row r="22" spans="1:66" ht="15.95" customHeight="1" x14ac:dyDescent="0.25">
      <c r="A22" s="83"/>
      <c r="B22" s="79" t="str">
        <f>IF($I22&lt;&gt;"",IF(WEEKDAY($I22,2)&lt;6,IF(VLOOKUP(WEEKDAY($I22,2),InputUge,3)&gt;0,IF($A22="",VLOOKUP(WEEKDAY($I22,2),InputUge,3)+MAX(B$8:B21),IF($A22&lt;VLOOKUP(WEEKDAY($I22,2),InputUge,3),$A22+MAX(B$8:B21),VLOOKUP(WEEKDAY($I22,2),InputUge,3)+MAX(B$8:B21))),""),""),"")</f>
        <v/>
      </c>
      <c r="C22" s="144">
        <f t="shared" si="12"/>
        <v>1</v>
      </c>
      <c r="D22" s="146" t="e">
        <f t="shared" si="13"/>
        <v>#VALUE!</v>
      </c>
      <c r="E22" s="146" t="e">
        <f t="shared" si="14"/>
        <v>#VALUE!</v>
      </c>
      <c r="F22" s="146" t="e">
        <f t="shared" si="15"/>
        <v>#VALUE!</v>
      </c>
      <c r="G22" s="261"/>
      <c r="H22" s="4">
        <v>14</v>
      </c>
      <c r="I22" s="16">
        <f t="shared" si="17"/>
        <v>41531</v>
      </c>
      <c r="J22" s="6"/>
      <c r="K22" s="6"/>
      <c r="L22" s="5"/>
      <c r="M22" s="141"/>
      <c r="N22" s="141"/>
      <c r="O22" s="141"/>
      <c r="P22" s="162"/>
      <c r="Q22" s="591"/>
      <c r="R22" s="592"/>
      <c r="S22" s="592"/>
      <c r="T22" s="593"/>
      <c r="U22" s="417"/>
      <c r="V22" s="240">
        <f t="shared" si="4"/>
        <v>0</v>
      </c>
      <c r="W22" s="240">
        <f t="shared" si="28"/>
        <v>0</v>
      </c>
      <c r="X22" s="240">
        <f t="shared" si="5"/>
        <v>0</v>
      </c>
      <c r="Y22" s="242">
        <f t="shared" si="29"/>
        <v>0</v>
      </c>
      <c r="Z22" s="417"/>
      <c r="AA22" s="417"/>
      <c r="AB22" s="417"/>
      <c r="AC22" s="417"/>
      <c r="AD22" s="417"/>
      <c r="AE22" s="240">
        <f t="shared" si="6"/>
        <v>0</v>
      </c>
      <c r="AF22" s="240">
        <f t="shared" si="30"/>
        <v>0</v>
      </c>
      <c r="AG22" s="240">
        <f t="shared" si="8"/>
        <v>0</v>
      </c>
      <c r="AH22" s="242">
        <f t="shared" si="31"/>
        <v>0</v>
      </c>
      <c r="AI22" s="245"/>
      <c r="AJ22" s="245"/>
      <c r="AK22" s="245"/>
      <c r="AL22" s="420"/>
      <c r="AM22" s="472"/>
      <c r="AN22" s="240">
        <f t="shared" si="9"/>
        <v>0</v>
      </c>
      <c r="AO22" s="240">
        <f t="shared" si="10"/>
        <v>0</v>
      </c>
      <c r="AP22" s="240">
        <f t="shared" si="11"/>
        <v>0</v>
      </c>
      <c r="AQ22" s="242">
        <f t="shared" si="20"/>
        <v>0</v>
      </c>
      <c r="AR22" s="245"/>
      <c r="AS22" s="245"/>
      <c r="AT22" s="245"/>
      <c r="AU22" s="420"/>
      <c r="AZ22" s="189"/>
      <c r="BA22" s="189"/>
      <c r="BB22" s="189"/>
      <c r="BC22" s="189"/>
      <c r="BD22" s="189"/>
      <c r="BE22" s="189"/>
      <c r="BG22" s="145" t="e">
        <f>IF($K22&gt;=0,+SUM(L$9:$L22)-$B22+Sep!$AZ$40+SUM(AQ$9:$AQ22)," ")</f>
        <v>#VALUE!</v>
      </c>
      <c r="BH22" s="144" t="e">
        <f t="shared" si="21"/>
        <v>#VALUE!</v>
      </c>
      <c r="BI22" s="146" t="e">
        <f t="shared" si="22"/>
        <v>#VALUE!</v>
      </c>
      <c r="BJ22" s="146" t="e">
        <f t="shared" si="23"/>
        <v>#VALUE!</v>
      </c>
      <c r="BK22" s="146" t="e">
        <f t="shared" si="24"/>
        <v>#VALUE!</v>
      </c>
      <c r="BL22" s="164"/>
      <c r="BM22" s="157">
        <f t="shared" si="26"/>
        <v>0</v>
      </c>
      <c r="BN22">
        <f t="shared" si="27"/>
        <v>2</v>
      </c>
    </row>
    <row r="23" spans="1:66" ht="15.95" customHeight="1" x14ac:dyDescent="0.25">
      <c r="A23" s="83"/>
      <c r="B23" s="79" t="str">
        <f>IF($I23&lt;&gt;"",IF(WEEKDAY($I23,2)&lt;6,IF(VLOOKUP(WEEKDAY($I23,2),InputUge,3)&gt;0,IF($A23="",VLOOKUP(WEEKDAY($I23,2),InputUge,3)+MAX(B$8:B22),IF($A23&lt;VLOOKUP(WEEKDAY($I23,2),InputUge,3),$A23+MAX(B$8:B22),VLOOKUP(WEEKDAY($I23,2),InputUge,3)+MAX(B$8:B22))),""),""),"")</f>
        <v/>
      </c>
      <c r="C23" s="144">
        <f t="shared" si="12"/>
        <v>1</v>
      </c>
      <c r="D23" s="146" t="e">
        <f t="shared" si="13"/>
        <v>#VALUE!</v>
      </c>
      <c r="E23" s="146" t="e">
        <f t="shared" si="14"/>
        <v>#VALUE!</v>
      </c>
      <c r="F23" s="146" t="e">
        <f t="shared" si="15"/>
        <v>#VALUE!</v>
      </c>
      <c r="G23" s="261"/>
      <c r="H23" s="4">
        <v>15</v>
      </c>
      <c r="I23" s="16">
        <f t="shared" si="17"/>
        <v>41532</v>
      </c>
      <c r="J23" s="6"/>
      <c r="K23" s="6"/>
      <c r="L23" s="5"/>
      <c r="M23" s="141">
        <f t="shared" si="0"/>
        <v>0</v>
      </c>
      <c r="N23" s="141">
        <f t="shared" si="1"/>
        <v>0</v>
      </c>
      <c r="O23" s="141">
        <f t="shared" si="2"/>
        <v>0</v>
      </c>
      <c r="P23" s="141" t="str">
        <f t="shared" si="3"/>
        <v/>
      </c>
      <c r="Q23" s="591"/>
      <c r="R23" s="592"/>
      <c r="S23" s="592"/>
      <c r="T23" s="593"/>
      <c r="U23" s="417"/>
      <c r="V23" s="240">
        <f t="shared" si="4"/>
        <v>0</v>
      </c>
      <c r="W23" s="240">
        <f t="shared" si="18"/>
        <v>0</v>
      </c>
      <c r="X23" s="240">
        <f t="shared" si="5"/>
        <v>0</v>
      </c>
      <c r="Y23" s="242">
        <f t="shared" ref="Y23:Y38" si="32">+X23+V23</f>
        <v>0</v>
      </c>
      <c r="Z23" s="417"/>
      <c r="AA23" s="417"/>
      <c r="AB23" s="417"/>
      <c r="AC23" s="417"/>
      <c r="AD23" s="417"/>
      <c r="AE23" s="240">
        <f t="shared" si="6"/>
        <v>0</v>
      </c>
      <c r="AF23" s="240">
        <f t="shared" si="30"/>
        <v>0</v>
      </c>
      <c r="AG23" s="240">
        <f t="shared" si="8"/>
        <v>0</v>
      </c>
      <c r="AH23" s="242">
        <f t="shared" si="31"/>
        <v>0</v>
      </c>
      <c r="AI23" s="245"/>
      <c r="AJ23" s="245"/>
      <c r="AK23" s="245"/>
      <c r="AL23" s="420"/>
      <c r="AM23" s="472"/>
      <c r="AN23" s="240">
        <f t="shared" si="9"/>
        <v>0</v>
      </c>
      <c r="AO23" s="240">
        <f t="shared" si="10"/>
        <v>0</v>
      </c>
      <c r="AP23" s="240">
        <f t="shared" si="11"/>
        <v>0</v>
      </c>
      <c r="AQ23" s="242">
        <f t="shared" si="20"/>
        <v>0</v>
      </c>
      <c r="AR23" s="245"/>
      <c r="AS23" s="245"/>
      <c r="AT23" s="245"/>
      <c r="AU23" s="420"/>
      <c r="AZ23" s="189"/>
      <c r="BA23" s="189"/>
      <c r="BB23" s="189"/>
      <c r="BC23" s="189"/>
      <c r="BD23" s="189"/>
      <c r="BE23" s="189"/>
      <c r="BG23" s="145" t="e">
        <f>IF($K23&gt;=0,+SUM(L$9:$L23)-$B23+Sep!$AZ$40+SUM(AQ$9:$AQ23)," ")</f>
        <v>#VALUE!</v>
      </c>
      <c r="BH23" s="144" t="e">
        <f t="shared" si="21"/>
        <v>#VALUE!</v>
      </c>
      <c r="BI23" s="146" t="e">
        <f t="shared" si="22"/>
        <v>#VALUE!</v>
      </c>
      <c r="BJ23" s="146" t="e">
        <f t="shared" si="23"/>
        <v>#VALUE!</v>
      </c>
      <c r="BK23" s="146" t="e">
        <f t="shared" si="24"/>
        <v>#VALUE!</v>
      </c>
      <c r="BL23" s="164" t="str">
        <f t="shared" si="25"/>
        <v/>
      </c>
      <c r="BM23" s="157" t="str">
        <f t="shared" si="26"/>
        <v/>
      </c>
      <c r="BN23">
        <f t="shared" si="27"/>
        <v>1</v>
      </c>
    </row>
    <row r="24" spans="1:66" ht="15.95" customHeight="1" x14ac:dyDescent="0.25">
      <c r="A24" s="83"/>
      <c r="B24" s="79">
        <f>IF($I24&lt;&gt;"",IF(WEEKDAY($I24,2)&lt;6,IF(VLOOKUP(WEEKDAY($I24,2),InputUge,3)&gt;0,IF($A24="",VLOOKUP(WEEKDAY($I24,2),InputUge,3)+MAX(B$8:B23),IF($A24&lt;VLOOKUP(WEEKDAY($I24,2),InputUge,3),$A24+MAX(B$8:B23),VLOOKUP(WEEKDAY($I24,2),InputUge,3)+MAX(B$8:B23))),""),""),"")</f>
        <v>81.076666666666668</v>
      </c>
      <c r="C24" s="144">
        <f t="shared" si="12"/>
        <v>1</v>
      </c>
      <c r="D24" s="146">
        <f t="shared" si="13"/>
        <v>81</v>
      </c>
      <c r="E24" s="146">
        <f t="shared" si="14"/>
        <v>7.6666666666667993E-2</v>
      </c>
      <c r="F24" s="146">
        <f t="shared" si="15"/>
        <v>4.6000000000000797E-2</v>
      </c>
      <c r="G24" s="261">
        <f t="shared" si="16"/>
        <v>81.046000000000006</v>
      </c>
      <c r="H24" s="4">
        <v>16</v>
      </c>
      <c r="I24" s="16">
        <f t="shared" si="17"/>
        <v>41533</v>
      </c>
      <c r="J24" s="6">
        <v>0.34826388888888887</v>
      </c>
      <c r="K24" s="6">
        <v>0.64265046296296291</v>
      </c>
      <c r="L24" s="5">
        <f>IF(K24&gt;0,ROUND(((K24-J24)*24)-SUM(BR24:BS24)+BT24,2)+IF(Fredagsfrokost="n",IF(WEEKDAY($I24,2)=5,IF(K24&gt;=0.5,IF(K24&lt;=13/24,0,0),0),0),0),IF(AW24&gt;0,AW24,""))</f>
        <v>7.07</v>
      </c>
      <c r="M24" s="141">
        <f t="shared" si="0"/>
        <v>7</v>
      </c>
      <c r="N24" s="141">
        <f t="shared" si="1"/>
        <v>7.0000000000000284E-2</v>
      </c>
      <c r="O24" s="141">
        <f t="shared" si="2"/>
        <v>4.2000000000000169E-2</v>
      </c>
      <c r="P24" s="162">
        <f t="shared" si="3"/>
        <v>7.0419999999999998</v>
      </c>
      <c r="Q24" s="591"/>
      <c r="R24" s="592"/>
      <c r="S24" s="592"/>
      <c r="T24" s="593"/>
      <c r="U24" s="417"/>
      <c r="V24" s="240">
        <f t="shared" si="4"/>
        <v>0</v>
      </c>
      <c r="W24" s="240">
        <f t="shared" si="18"/>
        <v>0</v>
      </c>
      <c r="X24" s="240">
        <f t="shared" si="5"/>
        <v>0</v>
      </c>
      <c r="Y24" s="242">
        <f t="shared" si="32"/>
        <v>0</v>
      </c>
      <c r="Z24" s="417"/>
      <c r="AA24" s="417"/>
      <c r="AB24" s="417"/>
      <c r="AC24" s="417"/>
      <c r="AD24" s="417"/>
      <c r="AE24" s="240">
        <f t="shared" si="6"/>
        <v>0</v>
      </c>
      <c r="AF24" s="240">
        <f t="shared" si="7"/>
        <v>0</v>
      </c>
      <c r="AG24" s="240">
        <f t="shared" si="8"/>
        <v>0</v>
      </c>
      <c r="AH24" s="242">
        <f t="shared" si="19"/>
        <v>0</v>
      </c>
      <c r="AI24" s="245"/>
      <c r="AJ24" s="245"/>
      <c r="AK24" s="245"/>
      <c r="AL24" s="420"/>
      <c r="AM24" s="472"/>
      <c r="AN24" s="240">
        <f t="shared" si="9"/>
        <v>0</v>
      </c>
      <c r="AO24" s="240">
        <f t="shared" si="10"/>
        <v>0</v>
      </c>
      <c r="AP24" s="240">
        <f t="shared" si="11"/>
        <v>0</v>
      </c>
      <c r="AQ24" s="242">
        <f t="shared" si="20"/>
        <v>0</v>
      </c>
      <c r="AR24" s="245"/>
      <c r="AS24" s="245"/>
      <c r="AT24" s="245"/>
      <c r="AU24" s="420"/>
      <c r="AZ24" s="189"/>
      <c r="BA24" s="189"/>
      <c r="BB24" s="189"/>
      <c r="BC24" s="189"/>
      <c r="BD24" s="189"/>
      <c r="BE24" s="189"/>
      <c r="BG24" s="145">
        <f>IF($K24&gt;=0,+SUM(L$9:$L24)-$B24+Sep!$AZ$40+SUM(AQ$9:$AQ24)," ")</f>
        <v>3.3333333333445125E-3</v>
      </c>
      <c r="BH24" s="144">
        <f t="shared" si="21"/>
        <v>1</v>
      </c>
      <c r="BI24" s="146">
        <f t="shared" si="22"/>
        <v>0</v>
      </c>
      <c r="BJ24" s="146">
        <f t="shared" si="23"/>
        <v>3.3333333333445125E-3</v>
      </c>
      <c r="BK24" s="146">
        <f t="shared" si="24"/>
        <v>2.0000000000067073E-3</v>
      </c>
      <c r="BL24" s="164">
        <f t="shared" si="25"/>
        <v>2.0000000000067073E-3</v>
      </c>
      <c r="BM24" s="157">
        <f t="shared" si="26"/>
        <v>7.0419999999999998</v>
      </c>
      <c r="BN24">
        <f t="shared" si="27"/>
        <v>2</v>
      </c>
    </row>
    <row r="25" spans="1:66" ht="15.95" customHeight="1" x14ac:dyDescent="0.25">
      <c r="A25" s="83"/>
      <c r="B25" s="79">
        <f>IF($I25&lt;&gt;"",IF(WEEKDAY($I25,2)&lt;6,IF(VLOOKUP(WEEKDAY($I25,2),InputUge,3)&gt;0,IF($A25="",VLOOKUP(WEEKDAY($I25,2),InputUge,3)+MAX(B$8:B24),IF($A25&lt;VLOOKUP(WEEKDAY($I25,2),InputUge,3),$A25+MAX(B$8:B24),VLOOKUP(WEEKDAY($I25,2),InputUge,3)+MAX(B$8:B24))),""),""),"")</f>
        <v>88.143333333333331</v>
      </c>
      <c r="C25" s="144">
        <f t="shared" si="12"/>
        <v>1</v>
      </c>
      <c r="D25" s="146">
        <f t="shared" si="13"/>
        <v>88</v>
      </c>
      <c r="E25" s="146">
        <f t="shared" si="14"/>
        <v>0.14333333333333087</v>
      </c>
      <c r="F25" s="146">
        <f t="shared" si="15"/>
        <v>8.5999999999998522E-2</v>
      </c>
      <c r="G25" s="261">
        <f t="shared" si="16"/>
        <v>88.085999999999999</v>
      </c>
      <c r="H25" s="4">
        <v>17</v>
      </c>
      <c r="I25" s="16">
        <f t="shared" si="17"/>
        <v>41534</v>
      </c>
      <c r="J25" s="6">
        <v>0.34826388888888887</v>
      </c>
      <c r="K25" s="6">
        <v>0.64236111111111105</v>
      </c>
      <c r="L25" s="5">
        <f>IF(K25&gt;0,ROUND(((K25-J25)*24)-SUM(BR25:BS25)+BT25,2)+IF(Fredagsfrokost="n",IF(WEEKDAY($I25,2)=5,IF(K25&gt;=0.5,IF(K25&lt;=13/24,0,0),0),0),0),IF(AW25&gt;0,AW25,""))</f>
        <v>7.06</v>
      </c>
      <c r="M25" s="141">
        <f>FLOOR(L25,1)</f>
        <v>7</v>
      </c>
      <c r="N25" s="141">
        <f>+L25-M25</f>
        <v>5.9999999999999609E-2</v>
      </c>
      <c r="O25" s="141">
        <f>+N25/100*60</f>
        <v>3.5999999999999761E-2</v>
      </c>
      <c r="P25" s="162">
        <f>IF(J25="","",O25+M25)</f>
        <v>7.0359999999999996</v>
      </c>
      <c r="Q25" s="591"/>
      <c r="R25" s="592"/>
      <c r="S25" s="592"/>
      <c r="T25" s="593"/>
      <c r="U25" s="417"/>
      <c r="V25" s="240">
        <f t="shared" si="4"/>
        <v>0</v>
      </c>
      <c r="W25" s="240">
        <f t="shared" si="18"/>
        <v>0</v>
      </c>
      <c r="X25" s="240">
        <f t="shared" si="5"/>
        <v>0</v>
      </c>
      <c r="Y25" s="242">
        <f t="shared" si="32"/>
        <v>0</v>
      </c>
      <c r="Z25" s="417"/>
      <c r="AA25" s="417"/>
      <c r="AB25" s="417"/>
      <c r="AC25" s="417"/>
      <c r="AD25" s="417"/>
      <c r="AE25" s="240">
        <f t="shared" si="6"/>
        <v>0</v>
      </c>
      <c r="AF25" s="240">
        <f t="shared" si="7"/>
        <v>0</v>
      </c>
      <c r="AG25" s="240">
        <f t="shared" si="8"/>
        <v>0</v>
      </c>
      <c r="AH25" s="242">
        <f t="shared" si="19"/>
        <v>0</v>
      </c>
      <c r="AI25" s="245"/>
      <c r="AJ25" s="245"/>
      <c r="AK25" s="245"/>
      <c r="AL25" s="420"/>
      <c r="AM25" s="472"/>
      <c r="AN25" s="240">
        <f t="shared" si="9"/>
        <v>0</v>
      </c>
      <c r="AO25" s="240">
        <f t="shared" si="10"/>
        <v>0</v>
      </c>
      <c r="AP25" s="240">
        <f t="shared" si="11"/>
        <v>0</v>
      </c>
      <c r="AQ25" s="242">
        <f t="shared" si="20"/>
        <v>0</v>
      </c>
      <c r="AR25" s="245"/>
      <c r="AS25" s="245"/>
      <c r="AT25" s="245"/>
      <c r="AU25" s="420"/>
      <c r="AZ25" s="189"/>
      <c r="BA25" s="189"/>
      <c r="BB25" s="189"/>
      <c r="BC25" s="189"/>
      <c r="BD25" s="189"/>
      <c r="BE25" s="189"/>
      <c r="BG25" s="145">
        <f>IF($K25&gt;=0,+SUM(L$9:$L25)-$B25+Sep!$AZ$40+SUM(AQ$9:$AQ25)," ")</f>
        <v>-3.3333333333160908E-3</v>
      </c>
      <c r="BH25" s="144">
        <f t="shared" si="21"/>
        <v>-1</v>
      </c>
      <c r="BI25" s="146">
        <f t="shared" si="22"/>
        <v>0</v>
      </c>
      <c r="BJ25" s="146">
        <f t="shared" si="23"/>
        <v>-3.3333333333160908E-3</v>
      </c>
      <c r="BK25" s="146">
        <f t="shared" si="24"/>
        <v>-1.9999999999896542E-3</v>
      </c>
      <c r="BL25" s="164">
        <f t="shared" si="25"/>
        <v>-1.9999999999896542E-3</v>
      </c>
      <c r="BM25" s="157">
        <f t="shared" si="26"/>
        <v>7.0359999999999996</v>
      </c>
      <c r="BN25">
        <f t="shared" si="27"/>
        <v>2</v>
      </c>
    </row>
    <row r="26" spans="1:66" ht="15.95" customHeight="1" x14ac:dyDescent="0.25">
      <c r="A26" s="83"/>
      <c r="B26" s="79">
        <f>IF($I26&lt;&gt;"",IF(WEEKDAY($I26,2)&lt;6,IF(VLOOKUP(WEEKDAY($I26,2),InputUge,3)&gt;0,IF($A26="",VLOOKUP(WEEKDAY($I26,2),InputUge,3)+MAX(B$8:B25),IF($A26&lt;VLOOKUP(WEEKDAY($I26,2),InputUge,3),$A26+MAX(B$8:B25),VLOOKUP(WEEKDAY($I26,2),InputUge,3)+MAX(B$8:B25))),""),""),"")</f>
        <v>95.21</v>
      </c>
      <c r="C26" s="144">
        <f t="shared" si="12"/>
        <v>1</v>
      </c>
      <c r="D26" s="146">
        <f t="shared" si="13"/>
        <v>95</v>
      </c>
      <c r="E26" s="146">
        <f t="shared" si="14"/>
        <v>0.20999999999999375</v>
      </c>
      <c r="F26" s="146">
        <f t="shared" si="15"/>
        <v>0.12599999999999625</v>
      </c>
      <c r="G26" s="261">
        <f t="shared" si="16"/>
        <v>95.125999999999991</v>
      </c>
      <c r="H26" s="4">
        <v>18</v>
      </c>
      <c r="I26" s="16">
        <f t="shared" si="17"/>
        <v>41535</v>
      </c>
      <c r="J26" s="6">
        <v>0.34791666666666665</v>
      </c>
      <c r="K26" s="6">
        <v>0.64236111111111105</v>
      </c>
      <c r="L26" s="5">
        <f>IF(K26&gt;0,ROUND(((K26-J26)*24)-SUM(BR26:BS26)+BT26,2)+IF(Fredagsfrokost="n",IF(WEEKDAY($I26,2)=5,IF(K26&gt;=0.5,IF(K26&lt;=13/24,0,0),0),0),0),IF(AW26&gt;0,AW26,""))</f>
        <v>7.07</v>
      </c>
      <c r="M26" s="141">
        <f>FLOOR(L26,1)</f>
        <v>7</v>
      </c>
      <c r="N26" s="141">
        <f>+L26-M26</f>
        <v>7.0000000000000284E-2</v>
      </c>
      <c r="O26" s="141">
        <f>+N26/100*60</f>
        <v>4.2000000000000169E-2</v>
      </c>
      <c r="P26" s="162">
        <f>IF(J26="","",O26+M26)</f>
        <v>7.0419999999999998</v>
      </c>
      <c r="Q26" s="591"/>
      <c r="R26" s="592"/>
      <c r="S26" s="592"/>
      <c r="T26" s="593"/>
      <c r="U26" s="417"/>
      <c r="V26" s="240">
        <f t="shared" si="4"/>
        <v>0</v>
      </c>
      <c r="W26" s="240">
        <f t="shared" si="18"/>
        <v>0</v>
      </c>
      <c r="X26" s="240">
        <f t="shared" si="5"/>
        <v>0</v>
      </c>
      <c r="Y26" s="242">
        <f t="shared" si="32"/>
        <v>0</v>
      </c>
      <c r="Z26" s="417"/>
      <c r="AA26" s="417"/>
      <c r="AB26" s="417"/>
      <c r="AC26" s="417"/>
      <c r="AD26" s="417"/>
      <c r="AE26" s="240">
        <f t="shared" si="6"/>
        <v>0</v>
      </c>
      <c r="AF26" s="240">
        <f t="shared" si="7"/>
        <v>0</v>
      </c>
      <c r="AG26" s="240">
        <f t="shared" si="8"/>
        <v>0</v>
      </c>
      <c r="AH26" s="242">
        <f t="shared" si="19"/>
        <v>0</v>
      </c>
      <c r="AI26" s="245"/>
      <c r="AJ26" s="245"/>
      <c r="AK26" s="245"/>
      <c r="AL26" s="420"/>
      <c r="AM26" s="472"/>
      <c r="AN26" s="240">
        <f t="shared" si="9"/>
        <v>0</v>
      </c>
      <c r="AO26" s="240">
        <f t="shared" si="10"/>
        <v>0</v>
      </c>
      <c r="AP26" s="240">
        <f t="shared" si="11"/>
        <v>0</v>
      </c>
      <c r="AQ26" s="242">
        <f t="shared" si="20"/>
        <v>0</v>
      </c>
      <c r="AR26" s="245"/>
      <c r="AS26" s="245"/>
      <c r="AT26" s="245"/>
      <c r="AU26" s="420"/>
      <c r="AZ26" s="189"/>
      <c r="BA26" s="189"/>
      <c r="BB26" s="189"/>
      <c r="BC26" s="189"/>
      <c r="BD26" s="189"/>
      <c r="BE26" s="189"/>
      <c r="BG26" s="145">
        <f>IF($K26&gt;=0,+SUM(L$9:$L26)-$B26+Sep!$AZ$40+SUM(AQ$9:$AQ26)," ")</f>
        <v>1.4210854715202004E-14</v>
      </c>
      <c r="BH26" s="144">
        <f t="shared" si="21"/>
        <v>1</v>
      </c>
      <c r="BI26" s="146">
        <f t="shared" si="22"/>
        <v>0</v>
      </c>
      <c r="BJ26" s="146">
        <f t="shared" si="23"/>
        <v>1.4210854715202004E-14</v>
      </c>
      <c r="BK26" s="146">
        <f t="shared" si="24"/>
        <v>8.5265128291212019E-15</v>
      </c>
      <c r="BL26" s="164">
        <f>IF(BN26=2,+BK26+BI26,"")</f>
        <v>8.5265128291212019E-15</v>
      </c>
      <c r="BM26" s="157">
        <f>+P26</f>
        <v>7.0419999999999998</v>
      </c>
      <c r="BN26">
        <f t="shared" si="27"/>
        <v>2</v>
      </c>
    </row>
    <row r="27" spans="1:66" ht="15.95" customHeight="1" x14ac:dyDescent="0.25">
      <c r="A27" s="83"/>
      <c r="B27" s="79">
        <f>IF($I27&lt;&gt;"",IF(WEEKDAY($I27,2)&lt;6,IF(VLOOKUP(WEEKDAY($I27,2),InputUge,3)&gt;0,IF($A27="",VLOOKUP(WEEKDAY($I27,2),InputUge,3)+MAX(B$8:B26),IF($A27&lt;VLOOKUP(WEEKDAY($I27,2),InputUge,3),$A27+MAX(B$8:B26),VLOOKUP(WEEKDAY($I27,2),InputUge,3)+MAX(B$8:B26))),""),""),"")</f>
        <v>104.61999999999999</v>
      </c>
      <c r="C27" s="144">
        <f t="shared" si="12"/>
        <v>1</v>
      </c>
      <c r="D27" s="146">
        <f t="shared" si="13"/>
        <v>104</v>
      </c>
      <c r="E27" s="146">
        <f t="shared" si="14"/>
        <v>0.61999999999999034</v>
      </c>
      <c r="F27" s="146">
        <f t="shared" si="15"/>
        <v>0.37199999999999422</v>
      </c>
      <c r="G27" s="261">
        <f t="shared" si="16"/>
        <v>104.372</v>
      </c>
      <c r="H27" s="4">
        <v>19</v>
      </c>
      <c r="I27" s="16">
        <f t="shared" si="17"/>
        <v>41536</v>
      </c>
      <c r="J27" s="6">
        <v>0.34791666666666665</v>
      </c>
      <c r="K27" s="6">
        <v>0.73987268518518512</v>
      </c>
      <c r="L27" s="5">
        <f>IF(K27&gt;0,ROUND(((K27-J27)*24)-SUM(BR27:BS27)+BT27,2)+IF(Fredagsfrokost="n",IF(WEEKDAY($I27,2)=5,IF(K27&gt;=0.5,IF(K27&lt;=13/24,0,0),0),0),0),IF(AW27&gt;0,AW27,""))</f>
        <v>9.41</v>
      </c>
      <c r="M27" s="141">
        <f>FLOOR(L27,1)</f>
        <v>9</v>
      </c>
      <c r="N27" s="141">
        <f>+L27-M27</f>
        <v>0.41000000000000014</v>
      </c>
      <c r="O27" s="141">
        <f>+N27/100*60</f>
        <v>0.24600000000000008</v>
      </c>
      <c r="P27" s="162">
        <f>IF(J27="","",O27+M27)</f>
        <v>9.2460000000000004</v>
      </c>
      <c r="Q27" s="591"/>
      <c r="R27" s="592"/>
      <c r="S27" s="592"/>
      <c r="T27" s="593"/>
      <c r="U27" s="417"/>
      <c r="V27" s="240">
        <f t="shared" si="4"/>
        <v>0</v>
      </c>
      <c r="W27" s="240">
        <f t="shared" si="18"/>
        <v>0</v>
      </c>
      <c r="X27" s="240">
        <f t="shared" si="5"/>
        <v>0</v>
      </c>
      <c r="Y27" s="242">
        <f t="shared" si="32"/>
        <v>0</v>
      </c>
      <c r="Z27" s="417"/>
      <c r="AA27" s="417"/>
      <c r="AB27" s="417"/>
      <c r="AC27" s="417"/>
      <c r="AD27" s="417"/>
      <c r="AE27" s="240">
        <f t="shared" si="6"/>
        <v>0</v>
      </c>
      <c r="AF27" s="240">
        <f t="shared" si="7"/>
        <v>0</v>
      </c>
      <c r="AG27" s="240">
        <f t="shared" si="8"/>
        <v>0</v>
      </c>
      <c r="AH27" s="242">
        <f t="shared" si="19"/>
        <v>0</v>
      </c>
      <c r="AI27" s="245"/>
      <c r="AJ27" s="245"/>
      <c r="AK27" s="245"/>
      <c r="AL27" s="420"/>
      <c r="AM27" s="472"/>
      <c r="AN27" s="240">
        <f t="shared" si="9"/>
        <v>0</v>
      </c>
      <c r="AO27" s="240">
        <f t="shared" si="10"/>
        <v>0</v>
      </c>
      <c r="AP27" s="240">
        <f t="shared" si="11"/>
        <v>0</v>
      </c>
      <c r="AQ27" s="242">
        <f t="shared" si="20"/>
        <v>0</v>
      </c>
      <c r="AR27" s="245"/>
      <c r="AS27" s="245"/>
      <c r="AT27" s="245"/>
      <c r="AU27" s="420"/>
      <c r="AZ27" s="189"/>
      <c r="BA27" s="189"/>
      <c r="BB27" s="189"/>
      <c r="BC27" s="189"/>
      <c r="BD27" s="189"/>
      <c r="BE27" s="189"/>
      <c r="BG27" s="145">
        <f>IF($K27&gt;=0,+SUM(L$9:$L27)-$B27+Sep!$AZ$40+SUM(AQ$9:$AQ27)," ")</f>
        <v>1.4210854715202004E-14</v>
      </c>
      <c r="BH27" s="144">
        <f t="shared" si="21"/>
        <v>1</v>
      </c>
      <c r="BI27" s="146">
        <f>FLOOR(BG27,BH27)</f>
        <v>0</v>
      </c>
      <c r="BJ27" s="146">
        <f>+BG27-BI27</f>
        <v>1.4210854715202004E-14</v>
      </c>
      <c r="BK27" s="146">
        <f t="shared" si="24"/>
        <v>8.5265128291212019E-15</v>
      </c>
      <c r="BL27" s="164">
        <f>IF(BN27=2,+BK27+BI27,"")</f>
        <v>8.5265128291212019E-15</v>
      </c>
      <c r="BM27" s="157">
        <f>+P27</f>
        <v>9.2460000000000004</v>
      </c>
      <c r="BN27">
        <f t="shared" si="27"/>
        <v>2</v>
      </c>
    </row>
    <row r="28" spans="1:66" ht="15.95" customHeight="1" x14ac:dyDescent="0.25">
      <c r="A28" s="83"/>
      <c r="B28" s="79">
        <f>IF($I28&lt;&gt;"",IF(WEEKDAY($I28,2)&lt;6,IF(VLOOKUP(WEEKDAY($I28,2),InputUge,3)&gt;0,IF($A28="",VLOOKUP(WEEKDAY($I28,2),InputUge,3)+MAX(B$8:B27),IF($A28&lt;VLOOKUP(WEEKDAY($I28,2),InputUge,3),$A28+MAX(B$8:B27),VLOOKUP(WEEKDAY($I28,2),InputUge,3)+MAX(B$8:B27))),""),""),"")</f>
        <v>111.02</v>
      </c>
      <c r="C28" s="144">
        <f t="shared" si="12"/>
        <v>1</v>
      </c>
      <c r="D28" s="146">
        <f t="shared" si="13"/>
        <v>111</v>
      </c>
      <c r="E28" s="146">
        <f t="shared" si="14"/>
        <v>1.9999999999996021E-2</v>
      </c>
      <c r="F28" s="146">
        <f t="shared" si="15"/>
        <v>1.1999999999997613E-2</v>
      </c>
      <c r="G28" s="261">
        <f t="shared" si="16"/>
        <v>111.012</v>
      </c>
      <c r="H28" s="4">
        <v>20</v>
      </c>
      <c r="I28" s="16">
        <f t="shared" si="17"/>
        <v>41537</v>
      </c>
      <c r="J28" s="6">
        <v>0.34791666666666665</v>
      </c>
      <c r="K28" s="6">
        <v>0.61458333333333337</v>
      </c>
      <c r="L28" s="5">
        <f>IF(K28&gt;0,ROUND(((K28-J28)*24)-SUM(BR28:BS28)+BT28,2)+IF(Fredagsfrokost="n",IF(WEEKDAY($I28,2)=5,IF(K28&gt;=0.5,IF(K28&lt;=13/24,0,0),0),0),0),IF(AW28&gt;0,AW28,""))</f>
        <v>6.4</v>
      </c>
      <c r="M28" s="141">
        <f>FLOOR(L28,1)</f>
        <v>6</v>
      </c>
      <c r="N28" s="141">
        <f>+L28-M28</f>
        <v>0.40000000000000036</v>
      </c>
      <c r="O28" s="141">
        <f>+N28/100*60</f>
        <v>0.24000000000000021</v>
      </c>
      <c r="P28" s="162">
        <f>IF(J28="","",O28+M28)</f>
        <v>6.24</v>
      </c>
      <c r="Q28" s="591"/>
      <c r="R28" s="592"/>
      <c r="S28" s="592"/>
      <c r="T28" s="593"/>
      <c r="U28" s="417"/>
      <c r="V28" s="240">
        <f t="shared" si="4"/>
        <v>0</v>
      </c>
      <c r="W28" s="240">
        <f t="shared" si="18"/>
        <v>0</v>
      </c>
      <c r="X28" s="240">
        <f t="shared" si="5"/>
        <v>0</v>
      </c>
      <c r="Y28" s="242">
        <f t="shared" si="32"/>
        <v>0</v>
      </c>
      <c r="Z28" s="417"/>
      <c r="AA28" s="417"/>
      <c r="AB28" s="417"/>
      <c r="AC28" s="417"/>
      <c r="AD28" s="417"/>
      <c r="AE28" s="240">
        <f t="shared" si="6"/>
        <v>0</v>
      </c>
      <c r="AF28" s="240">
        <f t="shared" si="7"/>
        <v>0</v>
      </c>
      <c r="AG28" s="240">
        <f t="shared" si="8"/>
        <v>0</v>
      </c>
      <c r="AH28" s="242">
        <f t="shared" si="19"/>
        <v>0</v>
      </c>
      <c r="AI28" s="245"/>
      <c r="AJ28" s="245"/>
      <c r="AK28" s="245"/>
      <c r="AL28" s="420"/>
      <c r="AM28" s="472"/>
      <c r="AN28" s="240">
        <f t="shared" si="9"/>
        <v>0</v>
      </c>
      <c r="AO28" s="240">
        <f t="shared" si="10"/>
        <v>0</v>
      </c>
      <c r="AP28" s="240">
        <f t="shared" si="11"/>
        <v>0</v>
      </c>
      <c r="AQ28" s="242">
        <f t="shared" si="20"/>
        <v>0</v>
      </c>
      <c r="AR28" s="245"/>
      <c r="AS28" s="245"/>
      <c r="AT28" s="245"/>
      <c r="AU28" s="420"/>
      <c r="AZ28" s="189"/>
      <c r="BA28" s="189"/>
      <c r="BB28" s="189"/>
      <c r="BC28" s="189"/>
      <c r="BD28" s="189"/>
      <c r="BE28" s="189"/>
      <c r="BG28" s="145">
        <f>IF($K28&gt;=0,+SUM(L$9:$L28)-$B28+Sep!$AZ$40+SUM(AQ$9:$AQ28)," ")</f>
        <v>1.4210854715202004E-14</v>
      </c>
      <c r="BH28" s="144">
        <f t="shared" si="21"/>
        <v>1</v>
      </c>
      <c r="BI28" s="146">
        <f t="shared" si="22"/>
        <v>0</v>
      </c>
      <c r="BJ28" s="146">
        <f t="shared" si="23"/>
        <v>1.4210854715202004E-14</v>
      </c>
      <c r="BK28" s="146">
        <f t="shared" si="24"/>
        <v>8.5265128291212019E-15</v>
      </c>
      <c r="BL28" s="164">
        <f t="shared" si="25"/>
        <v>8.5265128291212019E-15</v>
      </c>
      <c r="BM28" s="157">
        <f t="shared" si="26"/>
        <v>6.24</v>
      </c>
      <c r="BN28">
        <f t="shared" si="27"/>
        <v>2</v>
      </c>
    </row>
    <row r="29" spans="1:66" ht="15.95" customHeight="1" x14ac:dyDescent="0.25">
      <c r="A29" s="83"/>
      <c r="B29" s="79" t="str">
        <f>IF($I29&lt;&gt;"",IF(WEEKDAY($I29,2)&lt;6,IF(VLOOKUP(WEEKDAY($I29,2),InputUge,3)&gt;0,IF($A29="",VLOOKUP(WEEKDAY($I29,2),InputUge,3)+MAX(B$8:B28),IF($A29&lt;VLOOKUP(WEEKDAY($I29,2),InputUge,3),$A29+MAX(B$8:B28),VLOOKUP(WEEKDAY($I29,2),InputUge,3)+MAX(B$8:B28))),""),""),"")</f>
        <v/>
      </c>
      <c r="C29" s="144">
        <f t="shared" si="12"/>
        <v>1</v>
      </c>
      <c r="D29" s="146" t="e">
        <f t="shared" si="13"/>
        <v>#VALUE!</v>
      </c>
      <c r="E29" s="146" t="e">
        <f t="shared" si="14"/>
        <v>#VALUE!</v>
      </c>
      <c r="F29" s="146" t="e">
        <f t="shared" si="15"/>
        <v>#VALUE!</v>
      </c>
      <c r="G29" s="261"/>
      <c r="H29" s="4">
        <v>21</v>
      </c>
      <c r="I29" s="16">
        <f t="shared" si="17"/>
        <v>41538</v>
      </c>
      <c r="J29" s="6"/>
      <c r="K29" s="6"/>
      <c r="L29" s="5"/>
      <c r="M29" s="141"/>
      <c r="N29" s="141"/>
      <c r="O29" s="141"/>
      <c r="P29" s="162"/>
      <c r="Q29" s="591"/>
      <c r="R29" s="592"/>
      <c r="S29" s="592"/>
      <c r="T29" s="593"/>
      <c r="U29" s="417"/>
      <c r="V29" s="240">
        <f t="shared" si="4"/>
        <v>0</v>
      </c>
      <c r="W29" s="240">
        <f t="shared" si="18"/>
        <v>0</v>
      </c>
      <c r="X29" s="240">
        <f t="shared" si="5"/>
        <v>0</v>
      </c>
      <c r="Y29" s="242">
        <f t="shared" si="32"/>
        <v>0</v>
      </c>
      <c r="Z29" s="417"/>
      <c r="AA29" s="417"/>
      <c r="AB29" s="417"/>
      <c r="AC29" s="417"/>
      <c r="AD29" s="417"/>
      <c r="AE29" s="240">
        <f t="shared" si="6"/>
        <v>0</v>
      </c>
      <c r="AF29" s="240">
        <f t="shared" si="7"/>
        <v>0</v>
      </c>
      <c r="AG29" s="240">
        <f t="shared" si="8"/>
        <v>0</v>
      </c>
      <c r="AH29" s="242">
        <f t="shared" si="19"/>
        <v>0</v>
      </c>
      <c r="AI29" s="245"/>
      <c r="AJ29" s="245"/>
      <c r="AK29" s="245"/>
      <c r="AL29" s="420"/>
      <c r="AM29" s="472"/>
      <c r="AN29" s="240">
        <f t="shared" si="9"/>
        <v>0</v>
      </c>
      <c r="AO29" s="240">
        <f t="shared" si="10"/>
        <v>0</v>
      </c>
      <c r="AP29" s="240">
        <f t="shared" si="11"/>
        <v>0</v>
      </c>
      <c r="AQ29" s="242">
        <f t="shared" si="20"/>
        <v>0</v>
      </c>
      <c r="AR29" s="245"/>
      <c r="AS29" s="245"/>
      <c r="AT29" s="245"/>
      <c r="AU29" s="420"/>
      <c r="AZ29" s="189"/>
      <c r="BA29" s="189"/>
      <c r="BB29" s="189"/>
      <c r="BC29" s="189"/>
      <c r="BD29" s="189"/>
      <c r="BE29" s="189"/>
      <c r="BG29" s="145" t="e">
        <f>IF($K29&gt;=0,+SUM(L$9:$L29)-$B29+Sep!$AZ$40+SUM(AQ$9:$AQ29)," ")</f>
        <v>#VALUE!</v>
      </c>
      <c r="BH29" s="144" t="e">
        <f t="shared" si="21"/>
        <v>#VALUE!</v>
      </c>
      <c r="BI29" s="146" t="e">
        <f t="shared" si="22"/>
        <v>#VALUE!</v>
      </c>
      <c r="BJ29" s="146" t="e">
        <f t="shared" si="23"/>
        <v>#VALUE!</v>
      </c>
      <c r="BK29" s="146" t="e">
        <f t="shared" si="24"/>
        <v>#VALUE!</v>
      </c>
      <c r="BL29" s="164"/>
      <c r="BM29" s="157">
        <f t="shared" si="26"/>
        <v>0</v>
      </c>
      <c r="BN29">
        <f t="shared" si="27"/>
        <v>2</v>
      </c>
    </row>
    <row r="30" spans="1:66" ht="15.95" customHeight="1" x14ac:dyDescent="0.25">
      <c r="A30" s="83"/>
      <c r="B30" s="79" t="str">
        <f>IF($I30&lt;&gt;"",IF(WEEKDAY($I30,2)&lt;6,IF(VLOOKUP(WEEKDAY($I30,2),InputUge,3)&gt;0,IF($A30="",VLOOKUP(WEEKDAY($I30,2),InputUge,3)+MAX(B$8:B29),IF($A30&lt;VLOOKUP(WEEKDAY($I30,2),InputUge,3),$A30+MAX(B$8:B29),VLOOKUP(WEEKDAY($I30,2),InputUge,3)+MAX(B$8:B29))),""),""),"")</f>
        <v/>
      </c>
      <c r="C30" s="144">
        <f t="shared" si="12"/>
        <v>1</v>
      </c>
      <c r="D30" s="146" t="e">
        <f t="shared" si="13"/>
        <v>#VALUE!</v>
      </c>
      <c r="E30" s="146" t="e">
        <f t="shared" si="14"/>
        <v>#VALUE!</v>
      </c>
      <c r="F30" s="146" t="e">
        <f t="shared" si="15"/>
        <v>#VALUE!</v>
      </c>
      <c r="G30" s="261"/>
      <c r="H30" s="4">
        <v>22</v>
      </c>
      <c r="I30" s="16">
        <f t="shared" si="17"/>
        <v>41539</v>
      </c>
      <c r="J30" s="6"/>
      <c r="K30" s="6"/>
      <c r="L30" s="5"/>
      <c r="M30" s="141">
        <f t="shared" si="0"/>
        <v>0</v>
      </c>
      <c r="N30" s="141">
        <f t="shared" si="1"/>
        <v>0</v>
      </c>
      <c r="O30" s="141">
        <f t="shared" si="2"/>
        <v>0</v>
      </c>
      <c r="P30" s="141" t="str">
        <f t="shared" si="3"/>
        <v/>
      </c>
      <c r="Q30" s="591"/>
      <c r="R30" s="592"/>
      <c r="S30" s="592"/>
      <c r="T30" s="593"/>
      <c r="U30" s="417"/>
      <c r="V30" s="240">
        <f t="shared" si="4"/>
        <v>0</v>
      </c>
      <c r="W30" s="240">
        <f t="shared" si="18"/>
        <v>0</v>
      </c>
      <c r="X30" s="240">
        <f t="shared" si="5"/>
        <v>0</v>
      </c>
      <c r="Y30" s="242">
        <f t="shared" si="32"/>
        <v>0</v>
      </c>
      <c r="Z30" s="417"/>
      <c r="AA30" s="417"/>
      <c r="AB30" s="417"/>
      <c r="AC30" s="417"/>
      <c r="AD30" s="417"/>
      <c r="AE30" s="240">
        <f t="shared" si="6"/>
        <v>0</v>
      </c>
      <c r="AF30" s="240">
        <f t="shared" si="7"/>
        <v>0</v>
      </c>
      <c r="AG30" s="240">
        <f t="shared" si="8"/>
        <v>0</v>
      </c>
      <c r="AH30" s="242">
        <f t="shared" si="19"/>
        <v>0</v>
      </c>
      <c r="AI30" s="245"/>
      <c r="AJ30" s="245"/>
      <c r="AK30" s="245"/>
      <c r="AL30" s="420"/>
      <c r="AM30" s="472"/>
      <c r="AN30" s="240">
        <f t="shared" si="9"/>
        <v>0</v>
      </c>
      <c r="AO30" s="240">
        <f t="shared" si="10"/>
        <v>0</v>
      </c>
      <c r="AP30" s="240">
        <f t="shared" si="11"/>
        <v>0</v>
      </c>
      <c r="AQ30" s="242">
        <f t="shared" si="20"/>
        <v>0</v>
      </c>
      <c r="AR30" s="245"/>
      <c r="AS30" s="245"/>
      <c r="AT30" s="245"/>
      <c r="AU30" s="420"/>
      <c r="AZ30" s="189"/>
      <c r="BA30" s="189"/>
      <c r="BB30" s="189"/>
      <c r="BC30" s="189"/>
      <c r="BD30" s="189"/>
      <c r="BE30" s="189"/>
      <c r="BG30" s="145" t="e">
        <f>IF($K30&gt;=0,+SUM(L$9:$L30)-$B30+Sep!$AZ$40+SUM(AQ$9:$AQ30)," ")</f>
        <v>#VALUE!</v>
      </c>
      <c r="BH30" s="144" t="e">
        <f t="shared" si="21"/>
        <v>#VALUE!</v>
      </c>
      <c r="BI30" s="146" t="e">
        <f t="shared" si="22"/>
        <v>#VALUE!</v>
      </c>
      <c r="BJ30" s="146" t="e">
        <f t="shared" si="23"/>
        <v>#VALUE!</v>
      </c>
      <c r="BK30" s="146" t="e">
        <f t="shared" si="24"/>
        <v>#VALUE!</v>
      </c>
      <c r="BL30" s="164" t="str">
        <f t="shared" si="25"/>
        <v/>
      </c>
      <c r="BM30" s="157" t="str">
        <f t="shared" si="26"/>
        <v/>
      </c>
      <c r="BN30">
        <f t="shared" si="27"/>
        <v>1</v>
      </c>
    </row>
    <row r="31" spans="1:66" ht="15.95" customHeight="1" x14ac:dyDescent="0.25">
      <c r="A31" s="83"/>
      <c r="B31" s="79">
        <f>IF($I31&lt;&gt;"",IF(WEEKDAY($I31,2)&lt;6,IF(VLOOKUP(WEEKDAY($I31,2),InputUge,3)&gt;0,IF($A31="",VLOOKUP(WEEKDAY($I31,2),InputUge,3)+MAX(B$8:B30),IF($A31&lt;VLOOKUP(WEEKDAY($I31,2),InputUge,3),$A31+MAX(B$8:B30),VLOOKUP(WEEKDAY($I31,2),InputUge,3)+MAX(B$8:B30))),""),""),"")</f>
        <v>118.08333333333333</v>
      </c>
      <c r="C31" s="144">
        <f t="shared" si="12"/>
        <v>1</v>
      </c>
      <c r="D31" s="146">
        <f t="shared" si="13"/>
        <v>118</v>
      </c>
      <c r="E31" s="146">
        <f t="shared" si="14"/>
        <v>8.3333333333328596E-2</v>
      </c>
      <c r="F31" s="146">
        <f t="shared" si="15"/>
        <v>4.9999999999997158E-2</v>
      </c>
      <c r="G31" s="261">
        <f t="shared" si="16"/>
        <v>118.05</v>
      </c>
      <c r="H31" s="4">
        <v>23</v>
      </c>
      <c r="I31" s="16">
        <f t="shared" si="17"/>
        <v>41540</v>
      </c>
      <c r="J31" s="6">
        <v>0.34826388888888887</v>
      </c>
      <c r="K31" s="6">
        <v>0.64236111111111105</v>
      </c>
      <c r="L31" s="5">
        <f>IF(K31&gt;0,ROUND(((K31-J31)*24)-SUM(BR31:BS31)+BT31,2)+IF(Fredagsfrokost="n",IF(WEEKDAY($I31,2)=5,IF(K31&gt;=0.5,IF(K31&lt;=13/24,0,0),0),0),0),IF(AW31&gt;0,AW31,""))</f>
        <v>7.06</v>
      </c>
      <c r="M31" s="141">
        <f>FLOOR(L31,1)</f>
        <v>7</v>
      </c>
      <c r="N31" s="141">
        <f>+L31-M31</f>
        <v>5.9999999999999609E-2</v>
      </c>
      <c r="O31" s="141">
        <f>+N31/100*60</f>
        <v>3.5999999999999761E-2</v>
      </c>
      <c r="P31" s="162">
        <f>IF(J31="","",O31+M31)</f>
        <v>7.0359999999999996</v>
      </c>
      <c r="Q31" s="591"/>
      <c r="R31" s="592"/>
      <c r="S31" s="592"/>
      <c r="T31" s="593"/>
      <c r="U31" s="417"/>
      <c r="V31" s="240">
        <f t="shared" si="4"/>
        <v>0</v>
      </c>
      <c r="W31" s="240">
        <f t="shared" si="18"/>
        <v>0</v>
      </c>
      <c r="X31" s="240">
        <f t="shared" si="5"/>
        <v>0</v>
      </c>
      <c r="Y31" s="242">
        <f t="shared" si="32"/>
        <v>0</v>
      </c>
      <c r="Z31" s="417"/>
      <c r="AA31" s="417"/>
      <c r="AB31" s="417"/>
      <c r="AC31" s="417"/>
      <c r="AD31" s="417"/>
      <c r="AE31" s="240">
        <f t="shared" si="6"/>
        <v>0</v>
      </c>
      <c r="AF31" s="240">
        <f t="shared" si="7"/>
        <v>0</v>
      </c>
      <c r="AG31" s="240">
        <f t="shared" si="8"/>
        <v>0</v>
      </c>
      <c r="AH31" s="242">
        <f t="shared" si="19"/>
        <v>0</v>
      </c>
      <c r="AI31" s="245"/>
      <c r="AJ31" s="245"/>
      <c r="AK31" s="245"/>
      <c r="AL31" s="420"/>
      <c r="AM31" s="472"/>
      <c r="AN31" s="240">
        <f t="shared" si="9"/>
        <v>0</v>
      </c>
      <c r="AO31" s="240">
        <f t="shared" si="10"/>
        <v>0</v>
      </c>
      <c r="AP31" s="240">
        <f t="shared" si="11"/>
        <v>0</v>
      </c>
      <c r="AQ31" s="242">
        <f t="shared" si="20"/>
        <v>0</v>
      </c>
      <c r="AR31" s="245"/>
      <c r="AS31" s="245"/>
      <c r="AT31" s="245"/>
      <c r="AU31" s="420"/>
      <c r="AZ31" s="189"/>
      <c r="BA31" s="189"/>
      <c r="BB31" s="189"/>
      <c r="BC31" s="189"/>
      <c r="BD31" s="189"/>
      <c r="BE31" s="189"/>
      <c r="BG31" s="145">
        <f>IF($K31&gt;=0,+SUM(L$9:$L31)-$B31+Sep!$AZ$40+SUM(AQ$9:$AQ31)," ")</f>
        <v>-3.3333333333160908E-3</v>
      </c>
      <c r="BH31" s="144">
        <f t="shared" si="21"/>
        <v>-1</v>
      </c>
      <c r="BI31" s="146">
        <f t="shared" si="22"/>
        <v>0</v>
      </c>
      <c r="BJ31" s="146">
        <f t="shared" si="23"/>
        <v>-3.3333333333160908E-3</v>
      </c>
      <c r="BK31" s="146">
        <f t="shared" si="24"/>
        <v>-1.9999999999896542E-3</v>
      </c>
      <c r="BL31" s="164">
        <f t="shared" si="25"/>
        <v>-1.9999999999896542E-3</v>
      </c>
      <c r="BM31" s="157">
        <f t="shared" si="26"/>
        <v>7.0359999999999996</v>
      </c>
      <c r="BN31">
        <f t="shared" si="27"/>
        <v>2</v>
      </c>
    </row>
    <row r="32" spans="1:66" ht="15.95" customHeight="1" x14ac:dyDescent="0.25">
      <c r="A32" s="83"/>
      <c r="B32" s="79">
        <f>IF($I32&lt;&gt;"",IF(WEEKDAY($I32,2)&lt;6,IF(VLOOKUP(WEEKDAY($I32,2),InputUge,3)&gt;0,IF($A32="",VLOOKUP(WEEKDAY($I32,2),InputUge,3)+MAX(B$8:B31),IF($A32&lt;VLOOKUP(WEEKDAY($I32,2),InputUge,3),$A32+MAX(B$8:B31),VLOOKUP(WEEKDAY($I32,2),InputUge,3)+MAX(B$8:B31))),""),""),"")</f>
        <v>125.14999999999999</v>
      </c>
      <c r="C32" s="144">
        <f t="shared" si="12"/>
        <v>1</v>
      </c>
      <c r="D32" s="146">
        <f t="shared" si="13"/>
        <v>125</v>
      </c>
      <c r="E32" s="146">
        <f t="shared" si="14"/>
        <v>0.14999999999999147</v>
      </c>
      <c r="F32" s="146">
        <f t="shared" si="15"/>
        <v>8.999999999999489E-2</v>
      </c>
      <c r="G32" s="261">
        <f t="shared" si="16"/>
        <v>125.08999999999999</v>
      </c>
      <c r="H32" s="4">
        <v>24</v>
      </c>
      <c r="I32" s="16">
        <f t="shared" si="17"/>
        <v>41541</v>
      </c>
      <c r="J32" s="6">
        <v>0.34826388888888887</v>
      </c>
      <c r="K32" s="6">
        <v>0.64265046296296291</v>
      </c>
      <c r="L32" s="5">
        <f>IF(K32&gt;0,ROUND(((K32-J32)*24)-SUM(BR32:BS32)+BT32,2)+IF(Fredagsfrokost="n",IF(WEEKDAY($I32,2)=5,IF(K32&gt;=0.5,IF(K32&lt;=13/24,0,0),0),0),0),IF(AW32&gt;0,AW32,""))</f>
        <v>7.07</v>
      </c>
      <c r="M32" s="141">
        <f t="shared" si="0"/>
        <v>7</v>
      </c>
      <c r="N32" s="141">
        <f t="shared" si="1"/>
        <v>7.0000000000000284E-2</v>
      </c>
      <c r="O32" s="141">
        <f t="shared" si="2"/>
        <v>4.2000000000000169E-2</v>
      </c>
      <c r="P32" s="162">
        <f t="shared" si="3"/>
        <v>7.0419999999999998</v>
      </c>
      <c r="Q32" s="591"/>
      <c r="R32" s="592"/>
      <c r="S32" s="592"/>
      <c r="T32" s="593"/>
      <c r="U32" s="417"/>
      <c r="V32" s="240">
        <f t="shared" si="4"/>
        <v>0</v>
      </c>
      <c r="W32" s="240">
        <f t="shared" si="18"/>
        <v>0</v>
      </c>
      <c r="X32" s="240">
        <f t="shared" si="5"/>
        <v>0</v>
      </c>
      <c r="Y32" s="242">
        <f t="shared" si="32"/>
        <v>0</v>
      </c>
      <c r="Z32" s="417"/>
      <c r="AA32" s="417"/>
      <c r="AB32" s="417"/>
      <c r="AC32" s="417"/>
      <c r="AD32" s="417"/>
      <c r="AE32" s="240">
        <f t="shared" si="6"/>
        <v>0</v>
      </c>
      <c r="AF32" s="240">
        <f t="shared" si="7"/>
        <v>0</v>
      </c>
      <c r="AG32" s="240">
        <f t="shared" si="8"/>
        <v>0</v>
      </c>
      <c r="AH32" s="242">
        <f t="shared" si="19"/>
        <v>0</v>
      </c>
      <c r="AI32" s="245"/>
      <c r="AJ32" s="245"/>
      <c r="AK32" s="245"/>
      <c r="AL32" s="420"/>
      <c r="AM32" s="472"/>
      <c r="AN32" s="240">
        <f t="shared" si="9"/>
        <v>0</v>
      </c>
      <c r="AO32" s="240">
        <f t="shared" si="10"/>
        <v>0</v>
      </c>
      <c r="AP32" s="240">
        <f t="shared" si="11"/>
        <v>0</v>
      </c>
      <c r="AQ32" s="242">
        <f t="shared" si="20"/>
        <v>0</v>
      </c>
      <c r="AR32" s="245"/>
      <c r="AS32" s="245"/>
      <c r="AT32" s="245"/>
      <c r="AU32" s="420"/>
      <c r="AZ32" s="189"/>
      <c r="BA32" s="189"/>
      <c r="BB32" s="189"/>
      <c r="BC32" s="189"/>
      <c r="BD32" s="189"/>
      <c r="BE32" s="189"/>
      <c r="BG32" s="145">
        <f>IF($K32&gt;=0,+SUM(L$9:$L32)-$B32+Sep!$AZ$40+SUM(AQ$9:$AQ32)," ")</f>
        <v>1.4210854715202004E-14</v>
      </c>
      <c r="BH32" s="144">
        <f t="shared" si="21"/>
        <v>1</v>
      </c>
      <c r="BI32" s="146">
        <f t="shared" si="22"/>
        <v>0</v>
      </c>
      <c r="BJ32" s="146">
        <f t="shared" si="23"/>
        <v>1.4210854715202004E-14</v>
      </c>
      <c r="BK32" s="146">
        <f t="shared" si="24"/>
        <v>8.5265128291212019E-15</v>
      </c>
      <c r="BL32" s="164">
        <f t="shared" si="25"/>
        <v>8.5265128291212019E-15</v>
      </c>
      <c r="BM32" s="157">
        <f t="shared" si="26"/>
        <v>7.0419999999999998</v>
      </c>
      <c r="BN32">
        <f t="shared" si="27"/>
        <v>2</v>
      </c>
    </row>
    <row r="33" spans="1:67" ht="15.95" customHeight="1" x14ac:dyDescent="0.25">
      <c r="A33" s="83"/>
      <c r="B33" s="79">
        <f>IF($I33&lt;&gt;"",IF(WEEKDAY($I33,2)&lt;6,IF(VLOOKUP(WEEKDAY($I33,2),InputUge,3)&gt;0,IF($A33="",VLOOKUP(WEEKDAY($I33,2),InputUge,3)+MAX(B$8:B32),IF($A33&lt;VLOOKUP(WEEKDAY($I33,2),InputUge,3),$A33+MAX(B$8:B32),VLOOKUP(WEEKDAY($I33,2),InputUge,3)+MAX(B$8:B32))),""),""),"")</f>
        <v>132.21666666666667</v>
      </c>
      <c r="C33" s="144">
        <f t="shared" si="12"/>
        <v>1</v>
      </c>
      <c r="D33" s="146">
        <f t="shared" si="13"/>
        <v>132</v>
      </c>
      <c r="E33" s="146">
        <f t="shared" si="14"/>
        <v>0.21666666666666856</v>
      </c>
      <c r="F33" s="146">
        <f t="shared" si="15"/>
        <v>0.13000000000000114</v>
      </c>
      <c r="G33" s="261">
        <f t="shared" si="16"/>
        <v>132.13</v>
      </c>
      <c r="H33" s="4">
        <v>25</v>
      </c>
      <c r="I33" s="16">
        <f t="shared" si="17"/>
        <v>41542</v>
      </c>
      <c r="J33" s="6">
        <v>0.34791666666666665</v>
      </c>
      <c r="K33" s="6">
        <v>0.64236111111111105</v>
      </c>
      <c r="L33" s="5">
        <f>IF(K33&gt;0,ROUND(((K33-J33)*24)-SUM(BR33:BS33)+BT33,2)+IF(Fredagsfrokost="n",IF(WEEKDAY($I33,2)=5,IF(K33&gt;=0.5,IF(K33&lt;=13/24,0,0),0),0),0),IF(AW33&gt;0,AW33,""))</f>
        <v>7.07</v>
      </c>
      <c r="M33" s="141">
        <f t="shared" si="0"/>
        <v>7</v>
      </c>
      <c r="N33" s="141">
        <f t="shared" si="1"/>
        <v>7.0000000000000284E-2</v>
      </c>
      <c r="O33" s="141">
        <f t="shared" si="2"/>
        <v>4.2000000000000169E-2</v>
      </c>
      <c r="P33" s="162">
        <f t="shared" si="3"/>
        <v>7.0419999999999998</v>
      </c>
      <c r="Q33" s="591"/>
      <c r="R33" s="592"/>
      <c r="S33" s="592"/>
      <c r="T33" s="593"/>
      <c r="U33" s="417"/>
      <c r="V33" s="240">
        <f t="shared" si="4"/>
        <v>0</v>
      </c>
      <c r="W33" s="240">
        <f t="shared" si="18"/>
        <v>0</v>
      </c>
      <c r="X33" s="240">
        <f t="shared" si="5"/>
        <v>0</v>
      </c>
      <c r="Y33" s="242">
        <f t="shared" si="32"/>
        <v>0</v>
      </c>
      <c r="Z33" s="417"/>
      <c r="AA33" s="417"/>
      <c r="AB33" s="417"/>
      <c r="AC33" s="417"/>
      <c r="AD33" s="417"/>
      <c r="AE33" s="240">
        <f t="shared" si="6"/>
        <v>0</v>
      </c>
      <c r="AF33" s="240">
        <f t="shared" si="7"/>
        <v>0</v>
      </c>
      <c r="AG33" s="240">
        <f t="shared" si="8"/>
        <v>0</v>
      </c>
      <c r="AH33" s="242">
        <f t="shared" si="19"/>
        <v>0</v>
      </c>
      <c r="AI33" s="245"/>
      <c r="AJ33" s="245"/>
      <c r="AK33" s="245"/>
      <c r="AL33" s="420"/>
      <c r="AM33" s="472"/>
      <c r="AN33" s="240">
        <f t="shared" si="9"/>
        <v>0</v>
      </c>
      <c r="AO33" s="240">
        <f t="shared" si="10"/>
        <v>0</v>
      </c>
      <c r="AP33" s="240">
        <f t="shared" si="11"/>
        <v>0</v>
      </c>
      <c r="AQ33" s="242">
        <f t="shared" si="20"/>
        <v>0</v>
      </c>
      <c r="AR33" s="245"/>
      <c r="AS33" s="245"/>
      <c r="AT33" s="245"/>
      <c r="AU33" s="420"/>
      <c r="AZ33" s="189"/>
      <c r="BA33" s="189"/>
      <c r="BB33" s="189"/>
      <c r="BC33" s="189"/>
      <c r="BD33" s="189"/>
      <c r="BE33" s="189"/>
      <c r="BG33" s="145">
        <f>IF($K33&gt;=0,+SUM(L$9:$L33)-$B33+Sep!$AZ$40+SUM(AQ$9:$AQ33)," ")</f>
        <v>3.3333333333303017E-3</v>
      </c>
      <c r="BH33" s="144">
        <f t="shared" si="21"/>
        <v>1</v>
      </c>
      <c r="BI33" s="146">
        <f t="shared" si="22"/>
        <v>0</v>
      </c>
      <c r="BJ33" s="146">
        <f t="shared" si="23"/>
        <v>3.3333333333303017E-3</v>
      </c>
      <c r="BK33" s="146">
        <f t="shared" si="24"/>
        <v>1.9999999999981812E-3</v>
      </c>
      <c r="BL33" s="164">
        <f t="shared" si="25"/>
        <v>1.9999999999981812E-3</v>
      </c>
      <c r="BM33" s="157">
        <f t="shared" si="26"/>
        <v>7.0419999999999998</v>
      </c>
      <c r="BN33">
        <f t="shared" si="27"/>
        <v>2</v>
      </c>
    </row>
    <row r="34" spans="1:67" ht="15.95" customHeight="1" x14ac:dyDescent="0.25">
      <c r="A34" s="83"/>
      <c r="B34" s="79">
        <f>IF($I34&lt;&gt;"",IF(WEEKDAY($I34,2)&lt;6,IF(VLOOKUP(WEEKDAY($I34,2),InputUge,3)&gt;0,IF($A34="",VLOOKUP(WEEKDAY($I34,2),InputUge,3)+MAX(B$8:B33),IF($A34&lt;VLOOKUP(WEEKDAY($I34,2),InputUge,3),$A34+MAX(B$8:B33),VLOOKUP(WEEKDAY($I34,2),InputUge,3)+MAX(B$8:B33))),""),""),"")</f>
        <v>141.62666666666667</v>
      </c>
      <c r="C34" s="144">
        <f t="shared" si="12"/>
        <v>1</v>
      </c>
      <c r="D34" s="146">
        <f t="shared" si="13"/>
        <v>141</v>
      </c>
      <c r="E34" s="146">
        <f t="shared" si="14"/>
        <v>0.62666666666666515</v>
      </c>
      <c r="F34" s="146">
        <f t="shared" si="15"/>
        <v>0.37599999999999906</v>
      </c>
      <c r="G34" s="261">
        <f t="shared" si="16"/>
        <v>141.376</v>
      </c>
      <c r="H34" s="4">
        <v>26</v>
      </c>
      <c r="I34" s="16">
        <f t="shared" si="17"/>
        <v>41543</v>
      </c>
      <c r="J34" s="6">
        <v>0.34791666666666665</v>
      </c>
      <c r="K34" s="6">
        <v>0.73958333333333337</v>
      </c>
      <c r="L34" s="5">
        <f>IF(K34&gt;0,ROUND(((K34-J34)*24)-SUM(BR34:BS34)+BT34,2)+IF(Fredagsfrokost="n",IF(WEEKDAY($I34,2)=5,IF(K34&gt;=0.5,IF(K34&lt;=13/24,0,0),0),0),0),IF(AW34&gt;0,AW34,""))</f>
        <v>9.4</v>
      </c>
      <c r="M34" s="141">
        <f>FLOOR(L34,1)</f>
        <v>9</v>
      </c>
      <c r="N34" s="141">
        <f>+L34-M34</f>
        <v>0.40000000000000036</v>
      </c>
      <c r="O34" s="141">
        <f>+N34/100*60</f>
        <v>0.24000000000000021</v>
      </c>
      <c r="P34" s="162">
        <f>IF(J34="","",O34+M34)</f>
        <v>9.24</v>
      </c>
      <c r="Q34" s="591"/>
      <c r="R34" s="592"/>
      <c r="S34" s="592"/>
      <c r="T34" s="593"/>
      <c r="U34" s="417"/>
      <c r="V34" s="240">
        <f t="shared" si="4"/>
        <v>0</v>
      </c>
      <c r="W34" s="240">
        <f t="shared" si="18"/>
        <v>0</v>
      </c>
      <c r="X34" s="240">
        <f t="shared" si="5"/>
        <v>0</v>
      </c>
      <c r="Y34" s="242">
        <f t="shared" si="32"/>
        <v>0</v>
      </c>
      <c r="Z34" s="417"/>
      <c r="AA34" s="417"/>
      <c r="AB34" s="417"/>
      <c r="AC34" s="417"/>
      <c r="AD34" s="417"/>
      <c r="AE34" s="240">
        <f t="shared" si="6"/>
        <v>0</v>
      </c>
      <c r="AF34" s="240">
        <f t="shared" si="7"/>
        <v>0</v>
      </c>
      <c r="AG34" s="240">
        <f t="shared" si="8"/>
        <v>0</v>
      </c>
      <c r="AH34" s="242">
        <f t="shared" si="19"/>
        <v>0</v>
      </c>
      <c r="AI34" s="245"/>
      <c r="AJ34" s="245"/>
      <c r="AK34" s="245"/>
      <c r="AL34" s="420"/>
      <c r="AM34" s="472"/>
      <c r="AN34" s="240">
        <f t="shared" si="9"/>
        <v>0</v>
      </c>
      <c r="AO34" s="240">
        <f t="shared" si="10"/>
        <v>0</v>
      </c>
      <c r="AP34" s="240">
        <f t="shared" si="11"/>
        <v>0</v>
      </c>
      <c r="AQ34" s="242">
        <f t="shared" si="20"/>
        <v>0</v>
      </c>
      <c r="AR34" s="245"/>
      <c r="AS34" s="245"/>
      <c r="AT34" s="245"/>
      <c r="AU34" s="420"/>
      <c r="AZ34" s="189"/>
      <c r="BA34" s="189"/>
      <c r="BB34" s="189"/>
      <c r="BC34" s="189"/>
      <c r="BD34" s="189"/>
      <c r="BE34" s="189"/>
      <c r="BG34" s="145">
        <f>IF($K34&gt;=0,+SUM(L$9:$L34)-$B34+Sep!$AZ$40+SUM(AQ$9:$AQ34)," ")</f>
        <v>-6.6666666666606034E-3</v>
      </c>
      <c r="BH34" s="144">
        <f t="shared" si="21"/>
        <v>-1</v>
      </c>
      <c r="BI34" s="146">
        <f t="shared" si="22"/>
        <v>0</v>
      </c>
      <c r="BJ34" s="146">
        <f t="shared" si="23"/>
        <v>-6.6666666666606034E-3</v>
      </c>
      <c r="BK34" s="146">
        <f t="shared" si="24"/>
        <v>-3.9999999999963624E-3</v>
      </c>
      <c r="BL34" s="164">
        <f>IF(BN34=2,+BK34+BI34,"")</f>
        <v>-3.9999999999963624E-3</v>
      </c>
      <c r="BM34" s="157">
        <f t="shared" si="26"/>
        <v>9.24</v>
      </c>
      <c r="BN34">
        <f t="shared" si="27"/>
        <v>2</v>
      </c>
    </row>
    <row r="35" spans="1:67" ht="15.95" customHeight="1" x14ac:dyDescent="0.25">
      <c r="A35" s="83"/>
      <c r="B35" s="79">
        <f>IF($I35&lt;&gt;"",IF(WEEKDAY($I35,2)&lt;6,IF(VLOOKUP(WEEKDAY($I35,2),InputUge,3)&gt;0,IF($A35="",VLOOKUP(WEEKDAY($I35,2),InputUge,3)+MAX(B$8:B34),IF($A35&lt;VLOOKUP(WEEKDAY($I35,2),InputUge,3),$A35+MAX(B$8:B34),VLOOKUP(WEEKDAY($I35,2),InputUge,3)+MAX(B$8:B34))),""),""),"")</f>
        <v>148.02666666666667</v>
      </c>
      <c r="C35" s="144">
        <f t="shared" si="12"/>
        <v>1</v>
      </c>
      <c r="D35" s="146">
        <f t="shared" si="13"/>
        <v>148</v>
      </c>
      <c r="E35" s="146">
        <f t="shared" si="14"/>
        <v>2.6666666666670835E-2</v>
      </c>
      <c r="F35" s="146">
        <f t="shared" si="15"/>
        <v>1.6000000000002502E-2</v>
      </c>
      <c r="G35" s="261">
        <f t="shared" si="16"/>
        <v>148.01599999999999</v>
      </c>
      <c r="H35" s="4">
        <v>27</v>
      </c>
      <c r="I35" s="16">
        <f t="shared" si="17"/>
        <v>41544</v>
      </c>
      <c r="J35" s="6">
        <v>0.34791666666666665</v>
      </c>
      <c r="K35" s="6">
        <v>0.61458333333333337</v>
      </c>
      <c r="L35" s="5">
        <f>IF(K35&gt;0,ROUND(((K35-J35)*24)-SUM(BR35:BS35)+BT35,2)+IF(Fredagsfrokost="n",IF(WEEKDAY($I35,2)=5,IF(K35&gt;=0.5,IF(K35&lt;=13/24,0,0),0),0),0),IF(AW35&gt;0,AW35,""))</f>
        <v>6.4</v>
      </c>
      <c r="M35" s="141">
        <f>FLOOR(L35,1)</f>
        <v>6</v>
      </c>
      <c r="N35" s="141">
        <f>+L35-M35</f>
        <v>0.40000000000000036</v>
      </c>
      <c r="O35" s="141">
        <f>+N35/100*60</f>
        <v>0.24000000000000021</v>
      </c>
      <c r="P35" s="162">
        <f>IF(J35="","",O35+M35)</f>
        <v>6.24</v>
      </c>
      <c r="Q35" s="591"/>
      <c r="R35" s="592"/>
      <c r="S35" s="592"/>
      <c r="T35" s="593"/>
      <c r="U35" s="417"/>
      <c r="V35" s="240">
        <f t="shared" si="4"/>
        <v>0</v>
      </c>
      <c r="W35" s="240">
        <f t="shared" si="18"/>
        <v>0</v>
      </c>
      <c r="X35" s="240">
        <f t="shared" si="5"/>
        <v>0</v>
      </c>
      <c r="Y35" s="242">
        <f t="shared" si="32"/>
        <v>0</v>
      </c>
      <c r="Z35" s="417"/>
      <c r="AA35" s="417"/>
      <c r="AB35" s="417"/>
      <c r="AC35" s="417"/>
      <c r="AD35" s="417"/>
      <c r="AE35" s="240">
        <f t="shared" si="6"/>
        <v>0</v>
      </c>
      <c r="AF35" s="240">
        <f t="shared" si="7"/>
        <v>0</v>
      </c>
      <c r="AG35" s="240">
        <f t="shared" si="8"/>
        <v>0</v>
      </c>
      <c r="AH35" s="242">
        <f t="shared" si="19"/>
        <v>0</v>
      </c>
      <c r="AI35" s="245"/>
      <c r="AJ35" s="245"/>
      <c r="AK35" s="245"/>
      <c r="AL35" s="420"/>
      <c r="AM35" s="472"/>
      <c r="AN35" s="240">
        <f t="shared" si="9"/>
        <v>0</v>
      </c>
      <c r="AO35" s="240">
        <f t="shared" si="10"/>
        <v>0</v>
      </c>
      <c r="AP35" s="240">
        <f t="shared" si="11"/>
        <v>0</v>
      </c>
      <c r="AQ35" s="242">
        <f t="shared" si="20"/>
        <v>0</v>
      </c>
      <c r="AR35" s="245"/>
      <c r="AS35" s="245"/>
      <c r="AT35" s="245"/>
      <c r="AU35" s="420"/>
      <c r="AZ35" s="189"/>
      <c r="BA35" s="189"/>
      <c r="BB35" s="189"/>
      <c r="BC35" s="189"/>
      <c r="BD35" s="189"/>
      <c r="BE35" s="189"/>
      <c r="BG35" s="145">
        <f>IF($K35&gt;=0,+SUM(L$9:$L35)-$B35+Sep!$AZ$40+SUM(AQ$9:$AQ35)," ")</f>
        <v>-6.6666666666606034E-3</v>
      </c>
      <c r="BH35" s="144">
        <f t="shared" si="21"/>
        <v>-1</v>
      </c>
      <c r="BI35" s="146">
        <f t="shared" si="22"/>
        <v>0</v>
      </c>
      <c r="BJ35" s="146">
        <f t="shared" si="23"/>
        <v>-6.6666666666606034E-3</v>
      </c>
      <c r="BK35" s="146">
        <f t="shared" si="24"/>
        <v>-3.9999999999963624E-3</v>
      </c>
      <c r="BL35" s="164">
        <f t="shared" si="25"/>
        <v>-3.9999999999963624E-3</v>
      </c>
      <c r="BM35" s="157">
        <f t="shared" si="26"/>
        <v>6.24</v>
      </c>
      <c r="BN35">
        <f t="shared" si="27"/>
        <v>2</v>
      </c>
    </row>
    <row r="36" spans="1:67" ht="15.95" customHeight="1" x14ac:dyDescent="0.25">
      <c r="A36" s="83"/>
      <c r="B36" s="79" t="str">
        <f>IF($I36&lt;&gt;"",IF(WEEKDAY($I36,2)&lt;6,IF(VLOOKUP(WEEKDAY($I36,2),InputUge,3)&gt;0,IF($A36="",VLOOKUP(WEEKDAY($I36,2),InputUge,3)+MAX(B$8:B35),IF($A36&lt;VLOOKUP(WEEKDAY($I36,2),InputUge,3),$A36+MAX(B$8:B35),VLOOKUP(WEEKDAY($I36,2),InputUge,3)+MAX(B$8:B35))),""),""),"")</f>
        <v/>
      </c>
      <c r="C36" s="144">
        <f t="shared" si="12"/>
        <v>1</v>
      </c>
      <c r="D36" s="146" t="e">
        <f t="shared" si="13"/>
        <v>#VALUE!</v>
      </c>
      <c r="E36" s="146" t="e">
        <f t="shared" si="14"/>
        <v>#VALUE!</v>
      </c>
      <c r="F36" s="146" t="e">
        <f t="shared" si="15"/>
        <v>#VALUE!</v>
      </c>
      <c r="G36" s="261"/>
      <c r="H36" s="4">
        <v>28</v>
      </c>
      <c r="I36" s="16">
        <f t="shared" si="17"/>
        <v>41545</v>
      </c>
      <c r="J36" s="6"/>
      <c r="K36" s="6"/>
      <c r="L36" s="5"/>
      <c r="M36" s="141"/>
      <c r="N36" s="141"/>
      <c r="O36" s="141"/>
      <c r="P36" s="162"/>
      <c r="Q36" s="591"/>
      <c r="R36" s="592"/>
      <c r="S36" s="592"/>
      <c r="T36" s="593"/>
      <c r="U36" s="417"/>
      <c r="V36" s="240">
        <f t="shared" si="4"/>
        <v>0</v>
      </c>
      <c r="W36" s="240">
        <f t="shared" si="18"/>
        <v>0</v>
      </c>
      <c r="X36" s="240">
        <f t="shared" si="5"/>
        <v>0</v>
      </c>
      <c r="Y36" s="242">
        <f t="shared" si="32"/>
        <v>0</v>
      </c>
      <c r="Z36" s="417"/>
      <c r="AA36" s="417"/>
      <c r="AB36" s="417"/>
      <c r="AC36" s="417"/>
      <c r="AD36" s="417"/>
      <c r="AE36" s="240">
        <f t="shared" si="6"/>
        <v>0</v>
      </c>
      <c r="AF36" s="240">
        <f t="shared" si="7"/>
        <v>0</v>
      </c>
      <c r="AG36" s="240">
        <f t="shared" si="8"/>
        <v>0</v>
      </c>
      <c r="AH36" s="242">
        <f t="shared" si="19"/>
        <v>0</v>
      </c>
      <c r="AI36" s="245"/>
      <c r="AJ36" s="245"/>
      <c r="AK36" s="245"/>
      <c r="AL36" s="420"/>
      <c r="AM36" s="472"/>
      <c r="AN36" s="240">
        <f t="shared" si="9"/>
        <v>0</v>
      </c>
      <c r="AO36" s="240">
        <f t="shared" si="10"/>
        <v>0</v>
      </c>
      <c r="AP36" s="240">
        <f t="shared" si="11"/>
        <v>0</v>
      </c>
      <c r="AQ36" s="242">
        <f t="shared" si="20"/>
        <v>0</v>
      </c>
      <c r="AR36" s="245"/>
      <c r="AS36" s="245"/>
      <c r="AT36" s="245"/>
      <c r="AU36" s="420"/>
      <c r="AZ36" s="189"/>
      <c r="BA36" s="189"/>
      <c r="BB36" s="189"/>
      <c r="BC36" s="189"/>
      <c r="BD36" s="189"/>
      <c r="BE36" s="189"/>
      <c r="BG36" s="145" t="e">
        <f>IF($K36&gt;=0,+SUM(L$9:$L36)-$B36+Sep!$AZ$40+SUM(AQ$9:$AQ36)," ")</f>
        <v>#VALUE!</v>
      </c>
      <c r="BH36" s="144" t="e">
        <f t="shared" si="21"/>
        <v>#VALUE!</v>
      </c>
      <c r="BI36" s="146" t="e">
        <f t="shared" si="22"/>
        <v>#VALUE!</v>
      </c>
      <c r="BJ36" s="146" t="e">
        <f t="shared" si="23"/>
        <v>#VALUE!</v>
      </c>
      <c r="BK36" s="146" t="e">
        <f t="shared" si="24"/>
        <v>#VALUE!</v>
      </c>
      <c r="BL36" s="164"/>
      <c r="BM36" s="157">
        <f t="shared" si="26"/>
        <v>0</v>
      </c>
      <c r="BN36">
        <f t="shared" si="27"/>
        <v>2</v>
      </c>
    </row>
    <row r="37" spans="1:67" ht="15.95" customHeight="1" x14ac:dyDescent="0.25">
      <c r="A37" s="83"/>
      <c r="B37" s="79" t="str">
        <f>IF($I37&lt;&gt;"",IF(WEEKDAY($I37,2)&lt;6,IF(VLOOKUP(WEEKDAY($I37,2),InputUge,3)&gt;0,IF($A37="",VLOOKUP(WEEKDAY($I37,2),InputUge,3)+MAX(B$8:B36),IF($A37&lt;VLOOKUP(WEEKDAY($I37,2),InputUge,3),$A37+MAX(B$8:B36),VLOOKUP(WEEKDAY($I37,2),InputUge,3)+MAX(B$8:B36))),""),""),"")</f>
        <v/>
      </c>
      <c r="C37" s="144">
        <f t="shared" si="12"/>
        <v>1</v>
      </c>
      <c r="D37" s="146" t="e">
        <f t="shared" si="13"/>
        <v>#VALUE!</v>
      </c>
      <c r="E37" s="146" t="e">
        <f t="shared" si="14"/>
        <v>#VALUE!</v>
      </c>
      <c r="F37" s="146" t="e">
        <f t="shared" si="15"/>
        <v>#VALUE!</v>
      </c>
      <c r="G37" s="261"/>
      <c r="H37" s="4">
        <v>29</v>
      </c>
      <c r="I37" s="16">
        <f t="shared" si="17"/>
        <v>41546</v>
      </c>
      <c r="J37" s="6"/>
      <c r="K37" s="6"/>
      <c r="L37" s="5"/>
      <c r="M37" s="141">
        <f>FLOOR(L37,1)</f>
        <v>0</v>
      </c>
      <c r="N37" s="141">
        <f>+L37-M37</f>
        <v>0</v>
      </c>
      <c r="O37" s="141">
        <f>+N37/100*60</f>
        <v>0</v>
      </c>
      <c r="P37" s="141" t="str">
        <f t="shared" si="3"/>
        <v/>
      </c>
      <c r="Q37" s="591"/>
      <c r="R37" s="592"/>
      <c r="S37" s="592"/>
      <c r="T37" s="593"/>
      <c r="U37" s="417"/>
      <c r="V37" s="240">
        <f t="shared" si="4"/>
        <v>0</v>
      </c>
      <c r="W37" s="240">
        <f t="shared" si="18"/>
        <v>0</v>
      </c>
      <c r="X37" s="240">
        <f t="shared" si="5"/>
        <v>0</v>
      </c>
      <c r="Y37" s="242">
        <f t="shared" si="32"/>
        <v>0</v>
      </c>
      <c r="Z37" s="417"/>
      <c r="AA37" s="417"/>
      <c r="AB37" s="417"/>
      <c r="AC37" s="417"/>
      <c r="AD37" s="417"/>
      <c r="AE37" s="240">
        <f t="shared" si="6"/>
        <v>0</v>
      </c>
      <c r="AF37" s="240">
        <f t="shared" si="7"/>
        <v>0</v>
      </c>
      <c r="AG37" s="240">
        <f t="shared" si="8"/>
        <v>0</v>
      </c>
      <c r="AH37" s="242">
        <f t="shared" si="19"/>
        <v>0</v>
      </c>
      <c r="AI37" s="245"/>
      <c r="AJ37" s="245"/>
      <c r="AK37" s="245"/>
      <c r="AL37" s="420"/>
      <c r="AM37" s="472"/>
      <c r="AN37" s="240">
        <f t="shared" si="9"/>
        <v>0</v>
      </c>
      <c r="AO37" s="240">
        <f t="shared" si="10"/>
        <v>0</v>
      </c>
      <c r="AP37" s="240">
        <f t="shared" si="11"/>
        <v>0</v>
      </c>
      <c r="AQ37" s="242">
        <f t="shared" si="20"/>
        <v>0</v>
      </c>
      <c r="AR37" s="245"/>
      <c r="AS37" s="245"/>
      <c r="AT37" s="245"/>
      <c r="AU37" s="420"/>
      <c r="AZ37" s="189"/>
      <c r="BA37" s="189"/>
      <c r="BB37" s="189"/>
      <c r="BC37" s="189"/>
      <c r="BD37" s="189"/>
      <c r="BE37" s="189"/>
      <c r="BG37" s="145" t="e">
        <f>IF($K37&gt;=0,+SUM(L$9:$L37)-$B37+Sep!$AZ$40+SUM(AQ$9:$AQ37)," ")</f>
        <v>#VALUE!</v>
      </c>
      <c r="BH37" s="144" t="e">
        <f t="shared" si="21"/>
        <v>#VALUE!</v>
      </c>
      <c r="BI37" s="146" t="e">
        <f t="shared" si="22"/>
        <v>#VALUE!</v>
      </c>
      <c r="BJ37" s="146" t="e">
        <f t="shared" si="23"/>
        <v>#VALUE!</v>
      </c>
      <c r="BK37" s="146" t="e">
        <f t="shared" si="24"/>
        <v>#VALUE!</v>
      </c>
      <c r="BL37" s="164" t="str">
        <f t="shared" si="25"/>
        <v/>
      </c>
      <c r="BM37" s="157" t="str">
        <f t="shared" si="26"/>
        <v/>
      </c>
      <c r="BN37">
        <f t="shared" si="27"/>
        <v>1</v>
      </c>
    </row>
    <row r="38" spans="1:67" ht="15.95" customHeight="1" thickBot="1" x14ac:dyDescent="0.3">
      <c r="A38" s="85"/>
      <c r="B38" s="79">
        <f>IF($I38&lt;&gt;"",IF(WEEKDAY($I38,2)&lt;6,IF(VLOOKUP(WEEKDAY($I38,2),InputUge,3)&gt;0,IF($A38="",VLOOKUP(WEEKDAY($I38,2),InputUge,3)+MAX(B$8:B37),IF($A38&lt;VLOOKUP(WEEKDAY($I38,2),InputUge,3),$A38+MAX(B$8:B37),VLOOKUP(WEEKDAY($I38,2),InputUge,3)+MAX(B$8:B37))),""),""),"")</f>
        <v>155.09</v>
      </c>
      <c r="C38" s="144">
        <f t="shared" si="12"/>
        <v>1</v>
      </c>
      <c r="D38" s="146">
        <f t="shared" si="13"/>
        <v>155</v>
      </c>
      <c r="E38" s="146">
        <f t="shared" si="14"/>
        <v>9.0000000000003411E-2</v>
      </c>
      <c r="F38" s="146">
        <f t="shared" si="15"/>
        <v>5.4000000000002046E-2</v>
      </c>
      <c r="G38" s="261">
        <f t="shared" si="16"/>
        <v>155.054</v>
      </c>
      <c r="H38" s="4">
        <v>30</v>
      </c>
      <c r="I38" s="16">
        <f t="shared" si="17"/>
        <v>41547</v>
      </c>
      <c r="J38" s="6">
        <v>0.34826388888888887</v>
      </c>
      <c r="K38" s="6">
        <v>0.64265046296296291</v>
      </c>
      <c r="L38" s="5">
        <f>IF(K38&gt;0,ROUND(((K38-J38)*24)-SUM(BR38:BS38)+BT38,2)+IF(Fredagsfrokost="n",IF(WEEKDAY($I38,2)=5,IF(K38&gt;=0.5,IF(K38&lt;=13/24,0,0),0),0),0),IF(AW38&gt;0,AW38,""))</f>
        <v>7.07</v>
      </c>
      <c r="M38" s="141">
        <f>FLOOR(L38,1)</f>
        <v>7</v>
      </c>
      <c r="N38" s="141">
        <f>+L38-M38</f>
        <v>7.0000000000000284E-2</v>
      </c>
      <c r="O38" s="141">
        <f>+N38/100*60</f>
        <v>4.2000000000000169E-2</v>
      </c>
      <c r="P38" s="162">
        <f t="shared" si="3"/>
        <v>7.0419999999999998</v>
      </c>
      <c r="Q38" s="591"/>
      <c r="R38" s="592"/>
      <c r="S38" s="592"/>
      <c r="T38" s="593"/>
      <c r="U38" s="417"/>
      <c r="V38" s="240">
        <f t="shared" si="4"/>
        <v>0</v>
      </c>
      <c r="W38" s="240">
        <f t="shared" si="18"/>
        <v>0</v>
      </c>
      <c r="X38" s="240">
        <f t="shared" si="5"/>
        <v>0</v>
      </c>
      <c r="Y38" s="242">
        <f t="shared" si="32"/>
        <v>0</v>
      </c>
      <c r="Z38" s="417"/>
      <c r="AA38" s="417"/>
      <c r="AB38" s="417"/>
      <c r="AC38" s="417"/>
      <c r="AD38" s="417"/>
      <c r="AE38" s="240">
        <f t="shared" si="6"/>
        <v>0</v>
      </c>
      <c r="AF38" s="240">
        <f t="shared" si="7"/>
        <v>0</v>
      </c>
      <c r="AG38" s="240">
        <f t="shared" si="8"/>
        <v>0</v>
      </c>
      <c r="AH38" s="242">
        <f t="shared" si="19"/>
        <v>0</v>
      </c>
      <c r="AI38" s="245"/>
      <c r="AJ38" s="245"/>
      <c r="AK38" s="245"/>
      <c r="AL38" s="420"/>
      <c r="AM38" s="472"/>
      <c r="AN38" s="240">
        <f t="shared" si="9"/>
        <v>0</v>
      </c>
      <c r="AO38" s="240">
        <f t="shared" si="10"/>
        <v>0</v>
      </c>
      <c r="AP38" s="240">
        <f t="shared" si="11"/>
        <v>0</v>
      </c>
      <c r="AQ38" s="242">
        <f t="shared" si="20"/>
        <v>0</v>
      </c>
      <c r="AR38" s="245"/>
      <c r="AS38" s="245"/>
      <c r="AT38" s="245"/>
      <c r="AU38" s="420"/>
      <c r="AZ38" s="189"/>
      <c r="BA38" s="189"/>
      <c r="BB38" s="189"/>
      <c r="BC38" s="189"/>
      <c r="BD38" s="189"/>
      <c r="BE38" s="189"/>
      <c r="BG38" s="145">
        <f>IF($K38&gt;=0,+SUM(L$9:$L38)-$B38+Sep!$AZ$40+SUM(AQ$9:$AQ38)," ")</f>
        <v>0</v>
      </c>
      <c r="BH38" s="144">
        <f t="shared" si="21"/>
        <v>1</v>
      </c>
      <c r="BI38" s="146">
        <f t="shared" si="22"/>
        <v>0</v>
      </c>
      <c r="BJ38" s="146">
        <f t="shared" si="23"/>
        <v>0</v>
      </c>
      <c r="BK38" s="146">
        <f t="shared" si="24"/>
        <v>0</v>
      </c>
      <c r="BL38" s="164">
        <f t="shared" si="25"/>
        <v>0</v>
      </c>
      <c r="BM38" s="157">
        <f t="shared" si="26"/>
        <v>7.0419999999999998</v>
      </c>
      <c r="BN38">
        <f t="shared" si="27"/>
        <v>2</v>
      </c>
    </row>
    <row r="39" spans="1:67" ht="15.95" customHeight="1" thickBot="1" x14ac:dyDescent="0.3">
      <c r="B39" s="80">
        <f>MAX($B$8:$B38)</f>
        <v>155.09</v>
      </c>
      <c r="C39" s="80"/>
      <c r="D39" s="80"/>
      <c r="E39" s="80"/>
      <c r="F39" s="80"/>
      <c r="G39" s="279">
        <f>MAX($G$8:$G38)</f>
        <v>155.054</v>
      </c>
      <c r="H39" s="10" t="s">
        <v>1</v>
      </c>
      <c r="I39" s="14"/>
      <c r="J39" s="612">
        <f>SUM(L39:L39)-SUM(Q40:R40)</f>
        <v>155.09</v>
      </c>
      <c r="K39" s="613"/>
      <c r="L39" s="76">
        <f>SUM(L9:L38)</f>
        <v>155.09</v>
      </c>
      <c r="M39" s="141">
        <f>FLOOR(L39,1)</f>
        <v>155</v>
      </c>
      <c r="N39" s="141">
        <f>+L39-M39</f>
        <v>9.0000000000003411E-2</v>
      </c>
      <c r="O39" s="141">
        <f>+N39/100*60</f>
        <v>5.4000000000002046E-2</v>
      </c>
      <c r="P39" s="276">
        <f>+O39+M39</f>
        <v>155.054</v>
      </c>
      <c r="Q39" s="629"/>
      <c r="R39" s="630"/>
      <c r="S39" s="631"/>
      <c r="T39" s="632"/>
      <c r="U39" s="421">
        <f>+AC39</f>
        <v>0</v>
      </c>
      <c r="V39" s="421"/>
      <c r="W39" s="421"/>
      <c r="X39" s="421"/>
      <c r="Y39" s="422">
        <f>SUM(Y8:Y38)</f>
        <v>0</v>
      </c>
      <c r="Z39" s="252">
        <f>FLOOR(Y39,1)</f>
        <v>0</v>
      </c>
      <c r="AA39" s="252">
        <f>+Y39-Z39</f>
        <v>0</v>
      </c>
      <c r="AB39" s="252">
        <f>+AA39/100*60</f>
        <v>0</v>
      </c>
      <c r="AC39" s="252">
        <f>+AB39+Z39</f>
        <v>0</v>
      </c>
      <c r="AD39" s="421">
        <f>+AL39</f>
        <v>0</v>
      </c>
      <c r="AE39" s="422"/>
      <c r="AF39" s="422"/>
      <c r="AG39" s="422"/>
      <c r="AH39" s="422">
        <f>SUM(AH8:AH38)</f>
        <v>0</v>
      </c>
      <c r="AI39" s="252">
        <f>FLOOR(AH39,1)</f>
        <v>0</v>
      </c>
      <c r="AJ39" s="252">
        <f>+AH39-AI39</f>
        <v>0</v>
      </c>
      <c r="AK39" s="252">
        <f>+AJ39/100*60</f>
        <v>0</v>
      </c>
      <c r="AL39" s="252">
        <f>+AK39+AI39</f>
        <v>0</v>
      </c>
      <c r="AM39" s="473">
        <f>+AU39</f>
        <v>0</v>
      </c>
      <c r="AN39" s="459"/>
      <c r="AO39" s="434"/>
      <c r="AP39" s="434"/>
      <c r="AQ39" s="434">
        <f>SUM(AQ8:AQ38)</f>
        <v>0</v>
      </c>
      <c r="AR39" s="141">
        <f>FLOOR(AQ39,1)</f>
        <v>0</v>
      </c>
      <c r="AS39" s="141">
        <f>+AQ39-AR39</f>
        <v>0</v>
      </c>
      <c r="AT39" s="141">
        <f>+AS39/100*60</f>
        <v>0</v>
      </c>
      <c r="AU39" s="141">
        <f>+AT39+AR39</f>
        <v>0</v>
      </c>
      <c r="AZ39" s="192"/>
      <c r="BA39" s="144">
        <f t="shared" ref="BA39:BA44" si="33">IF(AZ39&lt;0,-1,1)</f>
        <v>1</v>
      </c>
      <c r="BB39" s="146">
        <f t="shared" ref="BB39:BB44" si="34">FLOOR(AZ39,BA39)</f>
        <v>0</v>
      </c>
      <c r="BC39" s="192"/>
      <c r="BD39" s="192"/>
      <c r="BE39" s="192"/>
      <c r="BG39" s="137"/>
      <c r="BH39" s="144"/>
      <c r="BI39" s="144"/>
      <c r="BJ39" s="144"/>
      <c r="BK39" s="144"/>
      <c r="BL39" s="167"/>
      <c r="BO39" s="15"/>
    </row>
    <row r="40" spans="1:67" ht="15.95" customHeight="1" x14ac:dyDescent="0.25">
      <c r="H40" s="623"/>
      <c r="I40" s="623"/>
      <c r="J40" s="637"/>
      <c r="K40" s="637"/>
      <c r="L40" s="637"/>
      <c r="M40" s="123"/>
      <c r="N40" s="123"/>
      <c r="O40" s="123"/>
      <c r="P40" s="265"/>
      <c r="Q40" s="104"/>
      <c r="R40" s="104"/>
      <c r="S40" s="599" t="s">
        <v>10</v>
      </c>
      <c r="T40" s="600"/>
      <c r="U40" s="600"/>
      <c r="V40" s="600"/>
      <c r="W40" s="600"/>
      <c r="X40" s="600"/>
      <c r="Y40" s="600"/>
      <c r="Z40" s="600"/>
      <c r="AA40" s="600"/>
      <c r="AB40" s="600"/>
      <c r="AC40" s="600"/>
      <c r="AD40" s="601"/>
      <c r="AE40" s="601"/>
      <c r="AF40" s="601"/>
      <c r="AG40" s="601"/>
      <c r="AH40" s="601"/>
      <c r="AI40" s="601"/>
      <c r="AJ40" s="601"/>
      <c r="AK40" s="601"/>
      <c r="AL40" s="601"/>
      <c r="AM40" s="634"/>
      <c r="AN40" s="400"/>
      <c r="AO40" s="400"/>
      <c r="AP40" s="400"/>
      <c r="AQ40" s="400"/>
      <c r="AR40" s="400"/>
      <c r="AS40" s="400"/>
      <c r="AT40" s="400"/>
      <c r="AU40" s="400"/>
      <c r="AV40" s="538">
        <f>+Aug!AV44</f>
        <v>0</v>
      </c>
      <c r="AW40" s="538"/>
      <c r="AX40" s="605"/>
      <c r="AZ40" s="190">
        <f>+Aug!AZ44</f>
        <v>0</v>
      </c>
      <c r="BA40" s="144">
        <f t="shared" si="33"/>
        <v>1</v>
      </c>
      <c r="BB40" s="146">
        <f t="shared" si="34"/>
        <v>0</v>
      </c>
      <c r="BC40" s="141">
        <f>+AZ40-BB40</f>
        <v>0</v>
      </c>
      <c r="BD40" s="141">
        <f>+BC40/100*60</f>
        <v>0</v>
      </c>
      <c r="BE40" s="162">
        <f>+BD40+BB40</f>
        <v>0</v>
      </c>
      <c r="BG40" s="138"/>
      <c r="BH40" s="143"/>
      <c r="BI40" s="143"/>
      <c r="BJ40" s="143"/>
      <c r="BK40" s="143"/>
      <c r="BL40" s="168"/>
    </row>
    <row r="41" spans="1:67" ht="15.95" customHeight="1" x14ac:dyDescent="0.25">
      <c r="H41" s="94"/>
      <c r="I41" s="94"/>
      <c r="J41" s="94"/>
      <c r="K41" s="94"/>
      <c r="L41" s="100"/>
      <c r="M41" s="100"/>
      <c r="N41" s="100"/>
      <c r="O41" s="100"/>
      <c r="P41" s="277"/>
      <c r="Q41" s="100"/>
      <c r="R41" s="100"/>
      <c r="S41" s="602" t="s">
        <v>11</v>
      </c>
      <c r="T41" s="603"/>
      <c r="U41" s="603"/>
      <c r="V41" s="603"/>
      <c r="W41" s="603"/>
      <c r="X41" s="603"/>
      <c r="Y41" s="603"/>
      <c r="Z41" s="603"/>
      <c r="AA41" s="603"/>
      <c r="AB41" s="603"/>
      <c r="AC41" s="603"/>
      <c r="AD41" s="604"/>
      <c r="AE41" s="604"/>
      <c r="AF41" s="604"/>
      <c r="AG41" s="604"/>
      <c r="AH41" s="604"/>
      <c r="AI41" s="604"/>
      <c r="AJ41" s="604"/>
      <c r="AK41" s="604"/>
      <c r="AL41" s="604"/>
      <c r="AM41" s="604"/>
      <c r="AN41" s="401"/>
      <c r="AO41" s="401"/>
      <c r="AP41" s="401"/>
      <c r="AQ41" s="401"/>
      <c r="AR41" s="401"/>
      <c r="AS41" s="401"/>
      <c r="AT41" s="401"/>
      <c r="AU41" s="401"/>
      <c r="AV41" s="606">
        <f>+BE41</f>
        <v>155.054</v>
      </c>
      <c r="AW41" s="606"/>
      <c r="AX41" s="608"/>
      <c r="AY41" s="1"/>
      <c r="AZ41" s="190">
        <f>+J39+AQ39</f>
        <v>155.09</v>
      </c>
      <c r="BA41" s="144">
        <f t="shared" si="33"/>
        <v>1</v>
      </c>
      <c r="BB41" s="146">
        <f t="shared" si="34"/>
        <v>155</v>
      </c>
      <c r="BC41" s="141">
        <f>+AZ41-BB41</f>
        <v>9.0000000000003411E-2</v>
      </c>
      <c r="BD41" s="141">
        <f>+BC41/100*60</f>
        <v>5.4000000000002046E-2</v>
      </c>
      <c r="BE41" s="162">
        <f>+BD41+BB41</f>
        <v>155.054</v>
      </c>
    </row>
    <row r="42" spans="1:67" ht="15.95" customHeight="1" x14ac:dyDescent="0.25">
      <c r="H42" s="611"/>
      <c r="I42" s="611"/>
      <c r="J42" s="611"/>
      <c r="K42" s="611"/>
      <c r="L42" s="611"/>
      <c r="M42" s="611"/>
      <c r="N42" s="611"/>
      <c r="O42" s="611"/>
      <c r="P42" s="611"/>
      <c r="Q42" s="611"/>
      <c r="R42" s="611"/>
      <c r="S42" s="602" t="s">
        <v>12</v>
      </c>
      <c r="T42" s="603"/>
      <c r="U42" s="603"/>
      <c r="V42" s="603"/>
      <c r="W42" s="603"/>
      <c r="X42" s="603"/>
      <c r="Y42" s="603"/>
      <c r="Z42" s="603"/>
      <c r="AA42" s="603"/>
      <c r="AB42" s="603"/>
      <c r="AC42" s="603"/>
      <c r="AD42" s="604"/>
      <c r="AE42" s="604"/>
      <c r="AF42" s="604"/>
      <c r="AG42" s="604"/>
      <c r="AH42" s="604"/>
      <c r="AI42" s="604"/>
      <c r="AJ42" s="604"/>
      <c r="AK42" s="604"/>
      <c r="AL42" s="604"/>
      <c r="AM42" s="604"/>
      <c r="AN42" s="401"/>
      <c r="AO42" s="401"/>
      <c r="AP42" s="401"/>
      <c r="AQ42" s="401"/>
      <c r="AR42" s="401"/>
      <c r="AS42" s="401"/>
      <c r="AT42" s="401"/>
      <c r="AU42" s="401"/>
      <c r="AV42" s="543">
        <f>+BE42</f>
        <v>155.054</v>
      </c>
      <c r="AW42" s="543"/>
      <c r="AX42" s="608"/>
      <c r="AZ42" s="157">
        <f>+B39</f>
        <v>155.09</v>
      </c>
      <c r="BA42" s="144">
        <f t="shared" si="33"/>
        <v>1</v>
      </c>
      <c r="BB42" s="146">
        <f t="shared" si="34"/>
        <v>155</v>
      </c>
      <c r="BC42" s="141">
        <f>+AZ42-BB42</f>
        <v>9.0000000000003411E-2</v>
      </c>
      <c r="BD42" s="141">
        <f>+BC42/100*60</f>
        <v>5.4000000000002046E-2</v>
      </c>
      <c r="BE42" s="162">
        <f>+BD42+BB42</f>
        <v>155.054</v>
      </c>
    </row>
    <row r="43" spans="1:67" ht="18.75" customHeight="1" thickBot="1" x14ac:dyDescent="0.3">
      <c r="H43" s="96"/>
      <c r="I43" s="96"/>
      <c r="J43" s="96"/>
      <c r="K43" s="96"/>
      <c r="L43" s="97"/>
      <c r="M43" s="97"/>
      <c r="N43" s="97"/>
      <c r="O43" s="97"/>
      <c r="P43" s="97"/>
      <c r="Q43" s="96"/>
      <c r="R43" s="96"/>
      <c r="S43" s="596" t="s">
        <v>13</v>
      </c>
      <c r="T43" s="597"/>
      <c r="U43" s="597"/>
      <c r="V43" s="597"/>
      <c r="W43" s="597"/>
      <c r="X43" s="597"/>
      <c r="Y43" s="597"/>
      <c r="Z43" s="597"/>
      <c r="AA43" s="597"/>
      <c r="AB43" s="597"/>
      <c r="AC43" s="597"/>
      <c r="AD43" s="598"/>
      <c r="AE43" s="598"/>
      <c r="AF43" s="598"/>
      <c r="AG43" s="598"/>
      <c r="AH43" s="598"/>
      <c r="AI43" s="598"/>
      <c r="AJ43" s="598"/>
      <c r="AK43" s="598"/>
      <c r="AL43" s="598"/>
      <c r="AM43" s="598"/>
      <c r="AN43" s="402"/>
      <c r="AO43" s="402"/>
      <c r="AP43" s="402"/>
      <c r="AQ43" s="402"/>
      <c r="AR43" s="402"/>
      <c r="AS43" s="402"/>
      <c r="AT43" s="402"/>
      <c r="AU43" s="402"/>
      <c r="AV43" s="545">
        <f>+BE43</f>
        <v>0</v>
      </c>
      <c r="AW43" s="545"/>
      <c r="AX43" s="610"/>
      <c r="AZ43" s="157">
        <f>+AZ40+AZ41-AZ42</f>
        <v>0</v>
      </c>
      <c r="BA43" s="144">
        <f t="shared" si="33"/>
        <v>1</v>
      </c>
      <c r="BB43" s="146">
        <f t="shared" si="34"/>
        <v>0</v>
      </c>
      <c r="BC43" s="141">
        <f>+AZ43-BB43</f>
        <v>0</v>
      </c>
      <c r="BD43" s="141">
        <f>+BC43/100*60</f>
        <v>0</v>
      </c>
      <c r="BE43" s="162">
        <f>+BD43+BB43</f>
        <v>0</v>
      </c>
    </row>
    <row r="44" spans="1:67" ht="15.95" hidden="1" customHeight="1" x14ac:dyDescent="0.25">
      <c r="H44" s="96"/>
      <c r="I44" s="96"/>
      <c r="J44" s="96"/>
      <c r="K44" s="96"/>
      <c r="L44" s="96"/>
      <c r="M44" s="96"/>
      <c r="N44" s="96"/>
      <c r="O44" s="96"/>
      <c r="P44" s="95"/>
      <c r="Q44" s="96"/>
      <c r="R44" s="96"/>
      <c r="S44" s="171"/>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2"/>
      <c r="BA44" s="144">
        <f t="shared" si="33"/>
        <v>1</v>
      </c>
      <c r="BB44" s="146">
        <f t="shared" si="34"/>
        <v>0</v>
      </c>
    </row>
    <row r="45" spans="1:67" ht="15.95" hidden="1" customHeight="1" thickBot="1" x14ac:dyDescent="0.3">
      <c r="S45" s="589" t="s">
        <v>76</v>
      </c>
      <c r="T45" s="590"/>
      <c r="U45" s="590"/>
      <c r="V45" s="590"/>
      <c r="W45" s="590"/>
      <c r="X45" s="590"/>
      <c r="Y45" s="590"/>
      <c r="Z45" s="590"/>
      <c r="AA45" s="590"/>
      <c r="AB45" s="590"/>
      <c r="AC45" s="590"/>
      <c r="AD45" s="590"/>
      <c r="AE45" s="590"/>
      <c r="AF45" s="590"/>
      <c r="AG45" s="590"/>
      <c r="AH45" s="590"/>
      <c r="AI45" s="590"/>
      <c r="AJ45" s="590"/>
      <c r="AK45" s="590"/>
      <c r="AL45" s="590"/>
      <c r="AM45" s="590"/>
      <c r="AN45" s="175"/>
      <c r="AO45" s="175"/>
      <c r="AP45" s="175"/>
      <c r="AQ45" s="175"/>
      <c r="AR45" s="175"/>
      <c r="AS45" s="175"/>
      <c r="AT45" s="175"/>
      <c r="AU45" s="175"/>
      <c r="AV45" s="594">
        <f>+BE45</f>
        <v>0</v>
      </c>
      <c r="AW45" s="594"/>
      <c r="AX45" s="595"/>
      <c r="AZ45" s="157">
        <f>+Y39+AH39+Mar!AZ46</f>
        <v>0</v>
      </c>
      <c r="BA45" s="157"/>
      <c r="BB45" s="141">
        <f>FLOOR(AZ45,1)</f>
        <v>0</v>
      </c>
      <c r="BC45" s="141">
        <f>+AZ45-BB45</f>
        <v>0</v>
      </c>
      <c r="BD45" s="141">
        <f>+BC45/100*60</f>
        <v>0</v>
      </c>
      <c r="BE45" s="162">
        <f>+BD45+BB45</f>
        <v>0</v>
      </c>
    </row>
  </sheetData>
  <sheetProtection sheet="1" objects="1" scenarios="1"/>
  <mergeCells count="58">
    <mergeCell ref="Q32:T32"/>
    <mergeCell ref="Q29:T29"/>
    <mergeCell ref="Q31:T31"/>
    <mergeCell ref="Q39:T39"/>
    <mergeCell ref="Q33:T33"/>
    <mergeCell ref="Q34:T34"/>
    <mergeCell ref="Q37:T37"/>
    <mergeCell ref="Q35:T35"/>
    <mergeCell ref="Q36:T36"/>
    <mergeCell ref="AW4:AY4"/>
    <mergeCell ref="Q22:T22"/>
    <mergeCell ref="Q19:T19"/>
    <mergeCell ref="Q20:T20"/>
    <mergeCell ref="Q25:T25"/>
    <mergeCell ref="Q16:T16"/>
    <mergeCell ref="Q17:T17"/>
    <mergeCell ref="Q18:T18"/>
    <mergeCell ref="Q21:T21"/>
    <mergeCell ref="Q23:T23"/>
    <mergeCell ref="Q24:T24"/>
    <mergeCell ref="U6:AD6"/>
    <mergeCell ref="H1:AZ1"/>
    <mergeCell ref="H42:R42"/>
    <mergeCell ref="J39:K39"/>
    <mergeCell ref="AW5:AY5"/>
    <mergeCell ref="U5:AV5"/>
    <mergeCell ref="L5:S5"/>
    <mergeCell ref="H5:K5"/>
    <mergeCell ref="H40:L40"/>
    <mergeCell ref="Q7:T7"/>
    <mergeCell ref="Q13:T13"/>
    <mergeCell ref="H4:K4"/>
    <mergeCell ref="U3:AV3"/>
    <mergeCell ref="L4:S4"/>
    <mergeCell ref="H3:K3"/>
    <mergeCell ref="L3:S3"/>
    <mergeCell ref="AW3:AY3"/>
    <mergeCell ref="Q15:T15"/>
    <mergeCell ref="S45:AM45"/>
    <mergeCell ref="AV45:AX45"/>
    <mergeCell ref="AV40:AX40"/>
    <mergeCell ref="AV41:AX41"/>
    <mergeCell ref="AV42:AX42"/>
    <mergeCell ref="AV43:AX43"/>
    <mergeCell ref="S43:AM43"/>
    <mergeCell ref="S40:AM40"/>
    <mergeCell ref="S41:AM41"/>
    <mergeCell ref="S42:AM42"/>
    <mergeCell ref="Q27:T27"/>
    <mergeCell ref="Q28:T28"/>
    <mergeCell ref="Q38:T38"/>
    <mergeCell ref="Q26:T26"/>
    <mergeCell ref="Q30:T30"/>
    <mergeCell ref="Q14:T14"/>
    <mergeCell ref="Q9:T9"/>
    <mergeCell ref="Q10:T10"/>
    <mergeCell ref="Q11:T11"/>
    <mergeCell ref="Q12:T12"/>
  </mergeCells>
  <phoneticPr fontId="0" type="noConversion"/>
  <conditionalFormatting sqref="H9:H38">
    <cfRule type="expression" dxfId="71" priority="20" stopIfTrue="1">
      <formula>IF(WEEKDAY($I9,2)&gt;5,1,0)</formula>
    </cfRule>
    <cfRule type="expression" dxfId="70" priority="21" stopIfTrue="1">
      <formula>IF($I9=TODAY(),1,0)</formula>
    </cfRule>
  </conditionalFormatting>
  <conditionalFormatting sqref="Q9:T38 J9:K9 AZ9:BE38 J11:K16 J22:K23 J30:K30 J32:K37">
    <cfRule type="expression" dxfId="69" priority="22" stopIfTrue="1">
      <formula>IF(WEEKDAY($B9,2)&lt;6,1,0)</formula>
    </cfRule>
  </conditionalFormatting>
  <conditionalFormatting sqref="AE9:AG38 BB39:BB44 Z39:AC39 AL13 V9:X38 AI39:AL39 AU13 AN9:AP38 AR39:AU39 BB45:BE45 BC40:BE43 M39:P39 BI9:BK38 L9:P9 L11:P16 L30:P30 L18:P23 L32:P37">
    <cfRule type="cellIs" dxfId="68" priority="23" stopIfTrue="1" operator="lessThan">
      <formula>0</formula>
    </cfRule>
  </conditionalFormatting>
  <conditionalFormatting sqref="B9:B38 G9:G38">
    <cfRule type="expression" dxfId="67" priority="24" stopIfTrue="1">
      <formula>IF(B9=MAX($B$8:B8),1,0)</formula>
    </cfRule>
  </conditionalFormatting>
  <conditionalFormatting sqref="J10:K10">
    <cfRule type="expression" dxfId="66" priority="18" stopIfTrue="1">
      <formula>IF(WEEKDAY($B10,2)&lt;6,1,0)</formula>
    </cfRule>
  </conditionalFormatting>
  <conditionalFormatting sqref="L10:P10">
    <cfRule type="cellIs" dxfId="65" priority="19" stopIfTrue="1" operator="lessThan">
      <formula>0</formula>
    </cfRule>
  </conditionalFormatting>
  <conditionalFormatting sqref="J18:K21">
    <cfRule type="expression" dxfId="64" priority="17" stopIfTrue="1">
      <formula>IF(WEEKDAY($B18,2)&lt;6,1,0)</formula>
    </cfRule>
  </conditionalFormatting>
  <conditionalFormatting sqref="J29:K29">
    <cfRule type="expression" dxfId="63" priority="14" stopIfTrue="1">
      <formula>IF(WEEKDAY($B29,2)&lt;6,1,0)</formula>
    </cfRule>
  </conditionalFormatting>
  <conditionalFormatting sqref="L25:P29">
    <cfRule type="cellIs" dxfId="62" priority="15" stopIfTrue="1" operator="lessThan">
      <formula>0</formula>
    </cfRule>
  </conditionalFormatting>
  <conditionalFormatting sqref="J25:K28">
    <cfRule type="expression" dxfId="61" priority="13" stopIfTrue="1">
      <formula>IF(WEEKDAY($B25,2)&lt;6,1,0)</formula>
    </cfRule>
  </conditionalFormatting>
  <conditionalFormatting sqref="L17:P17">
    <cfRule type="cellIs" dxfId="60" priority="11" stopIfTrue="1" operator="lessThan">
      <formula>0</formula>
    </cfRule>
  </conditionalFormatting>
  <conditionalFormatting sqref="J17:K17">
    <cfRule type="expression" dxfId="59" priority="10" stopIfTrue="1">
      <formula>IF(WEEKDAY($B17,2)&lt;6,1,0)</formula>
    </cfRule>
  </conditionalFormatting>
  <conditionalFormatting sqref="L24:P24">
    <cfRule type="cellIs" dxfId="58" priority="8" stopIfTrue="1" operator="lessThan">
      <formula>0</formula>
    </cfRule>
  </conditionalFormatting>
  <conditionalFormatting sqref="J24">
    <cfRule type="expression" dxfId="57" priority="7" stopIfTrue="1">
      <formula>IF(WEEKDAY($B24,2)&lt;6,1,0)</formula>
    </cfRule>
  </conditionalFormatting>
  <conditionalFormatting sqref="K24">
    <cfRule type="expression" dxfId="56" priority="6" stopIfTrue="1">
      <formula>IF(WEEKDAY($B24,2)&lt;6,1,0)</formula>
    </cfRule>
  </conditionalFormatting>
  <conditionalFormatting sqref="J31:K31">
    <cfRule type="expression" dxfId="55" priority="4" stopIfTrue="1">
      <formula>IF(WEEKDAY($B31,2)&lt;6,1,0)</formula>
    </cfRule>
  </conditionalFormatting>
  <conditionalFormatting sqref="L31:P31">
    <cfRule type="cellIs" dxfId="54" priority="5" stopIfTrue="1" operator="lessThan">
      <formula>0</formula>
    </cfRule>
  </conditionalFormatting>
  <conditionalFormatting sqref="J38">
    <cfRule type="expression" dxfId="53" priority="2" stopIfTrue="1">
      <formula>IF(WEEKDAY($B38,2)&lt;6,1,0)</formula>
    </cfRule>
  </conditionalFormatting>
  <conditionalFormatting sqref="L38:P38">
    <cfRule type="cellIs" dxfId="52" priority="3" stopIfTrue="1" operator="lessThan">
      <formula>0</formula>
    </cfRule>
  </conditionalFormatting>
  <conditionalFormatting sqref="K38">
    <cfRule type="expression" dxfId="51" priority="1" stopIfTrue="1">
      <formula>IF(WEEKDAY($B38,2)&lt;6,1,0)</formula>
    </cfRule>
  </conditionalFormatting>
  <printOptions horizontalCentered="1" verticalCentered="1"/>
  <pageMargins left="0.59055118110236227" right="0.19685039370078741" top="0.19685039370078741" bottom="0.59055118110236227" header="0.51181102362204722" footer="0.51181102362204722"/>
  <pageSetup paperSize="9" scale="110" orientation="portrait" horizont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0"/>
  <dimension ref="A1:BN46"/>
  <sheetViews>
    <sheetView zoomScale="75" workbookViewId="0">
      <pane xSplit="9" ySplit="8" topLeftCell="J9" activePane="bottomRight" state="frozen"/>
      <selection activeCell="U24" sqref="U24"/>
      <selection pane="topRight" activeCell="U24" sqref="U24"/>
      <selection pane="bottomLeft" activeCell="U24" sqref="U24"/>
      <selection pane="bottomRight" activeCell="B1" sqref="B1:F65536"/>
    </sheetView>
  </sheetViews>
  <sheetFormatPr defaultRowHeight="15" x14ac:dyDescent="0.25"/>
  <cols>
    <col min="1" max="1" width="7.140625" customWidth="1"/>
    <col min="2" max="2" width="9.42578125" hidden="1" customWidth="1"/>
    <col min="3" max="3" width="5.28515625" hidden="1" customWidth="1"/>
    <col min="4" max="6" width="9.85546875" hidden="1" customWidth="1"/>
    <col min="7" max="7" width="10" style="258" bestFit="1" customWidth="1"/>
    <col min="8" max="8" width="5.42578125" bestFit="1" customWidth="1"/>
    <col min="9" max="9" width="11.5703125" hidden="1" customWidth="1"/>
    <col min="10" max="10" width="7.7109375" bestFit="1" customWidth="1"/>
    <col min="11" max="11" width="7" bestFit="1" customWidth="1"/>
    <col min="12" max="12" width="7.140625" hidden="1" customWidth="1"/>
    <col min="13" max="13" width="7.5703125" hidden="1" customWidth="1"/>
    <col min="14" max="15" width="5.28515625" hidden="1" customWidth="1"/>
    <col min="16" max="16" width="8.140625" style="266" customWidth="1"/>
    <col min="17" max="19" width="6.28515625" customWidth="1"/>
    <col min="20" max="20" width="5.85546875" customWidth="1"/>
    <col min="21" max="21" width="17.85546875" bestFit="1" customWidth="1"/>
    <col min="22" max="29" width="5.28515625" hidden="1" customWidth="1"/>
    <col min="30" max="30" width="15.5703125" customWidth="1"/>
    <col min="31" max="38" width="5.28515625" hidden="1" customWidth="1"/>
    <col min="39" max="39" width="22.85546875" bestFit="1" customWidth="1"/>
    <col min="40" max="47" width="5.28515625" hidden="1" customWidth="1"/>
    <col min="48" max="48" width="6.28515625" hidden="1" customWidth="1"/>
    <col min="49" max="49" width="2.42578125" customWidth="1"/>
    <col min="50" max="50" width="6.28515625" customWidth="1"/>
    <col min="51" max="51" width="10.28515625" customWidth="1"/>
    <col min="52" max="52" width="8.5703125" hidden="1" customWidth="1"/>
    <col min="53" max="53" width="6" hidden="1" customWidth="1"/>
    <col min="54" max="54" width="7.5703125" hidden="1" customWidth="1"/>
    <col min="55" max="56" width="6" hidden="1" customWidth="1"/>
    <col min="57" max="57" width="7.5703125" hidden="1" customWidth="1"/>
    <col min="58" max="58" width="0" hidden="1" customWidth="1"/>
    <col min="59" max="60" width="10" style="134" hidden="1" customWidth="1"/>
    <col min="61" max="63" width="9.85546875" style="134" hidden="1" customWidth="1"/>
    <col min="64" max="64" width="12.140625" style="134" bestFit="1" customWidth="1"/>
    <col min="65" max="65" width="4.5703125" hidden="1" customWidth="1"/>
    <col min="66" max="66" width="2.28515625" hidden="1" customWidth="1"/>
    <col min="67" max="68" width="0" hidden="1" customWidth="1"/>
  </cols>
  <sheetData>
    <row r="1" spans="1:66" ht="18" x14ac:dyDescent="0.25">
      <c r="H1" s="547" t="s">
        <v>114</v>
      </c>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174"/>
      <c r="BB1" s="174"/>
      <c r="BC1" s="174"/>
      <c r="BD1" s="174"/>
      <c r="BE1" s="174"/>
    </row>
    <row r="2" spans="1:66" ht="8.1" customHeight="1" x14ac:dyDescent="0.25">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66" ht="15.95" customHeight="1" x14ac:dyDescent="0.25">
      <c r="H3" s="620" t="s">
        <v>5</v>
      </c>
      <c r="I3" s="621"/>
      <c r="J3" s="621"/>
      <c r="K3" s="622"/>
      <c r="L3" s="555" t="str">
        <f>+Resume!H1</f>
        <v>Lars Larsen</v>
      </c>
      <c r="M3" s="556"/>
      <c r="N3" s="556"/>
      <c r="O3" s="556"/>
      <c r="P3" s="556"/>
      <c r="Q3" s="557"/>
      <c r="R3" s="557"/>
      <c r="S3" s="557"/>
      <c r="T3" s="49"/>
      <c r="U3" s="626" t="s">
        <v>7</v>
      </c>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155"/>
      <c r="AX3" s="558">
        <f>+I9</f>
        <v>41548</v>
      </c>
      <c r="AY3" s="560"/>
      <c r="AZ3" s="183"/>
      <c r="BA3" s="183"/>
      <c r="BB3" s="183"/>
      <c r="BC3" s="183"/>
      <c r="BD3" s="183"/>
      <c r="BE3" s="183"/>
    </row>
    <row r="4" spans="1:66" ht="15.95" customHeight="1" x14ac:dyDescent="0.25">
      <c r="H4" s="625" t="s">
        <v>6</v>
      </c>
      <c r="I4" s="625"/>
      <c r="J4" s="625"/>
      <c r="K4" s="625"/>
      <c r="L4" s="550" t="str">
        <f>+Resume!H2</f>
        <v>010101-0101</v>
      </c>
      <c r="M4" s="551"/>
      <c r="N4" s="551"/>
      <c r="O4" s="551"/>
      <c r="P4" s="551"/>
      <c r="Q4" s="551"/>
      <c r="R4" s="551"/>
      <c r="S4" s="551"/>
      <c r="T4" s="50"/>
      <c r="U4" s="17" t="s">
        <v>8</v>
      </c>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8"/>
      <c r="AW4" s="159"/>
      <c r="AX4" s="561" t="str">
        <f>IF(Resume!I4&lt;&gt;"",Resume!I4,"")</f>
        <v>1 - bagud</v>
      </c>
      <c r="AY4" s="563"/>
      <c r="AZ4" s="184"/>
      <c r="BA4" s="184"/>
      <c r="BB4" s="184"/>
      <c r="BC4" s="184"/>
      <c r="BD4" s="184"/>
      <c r="BE4" s="184"/>
    </row>
    <row r="5" spans="1:66" ht="15.75" x14ac:dyDescent="0.25">
      <c r="H5" s="620" t="s">
        <v>9</v>
      </c>
      <c r="I5" s="621"/>
      <c r="J5" s="621"/>
      <c r="K5" s="622"/>
      <c r="L5" s="555" t="str">
        <f>+Resume!H3</f>
        <v>SKAT</v>
      </c>
      <c r="M5" s="556"/>
      <c r="N5" s="556"/>
      <c r="O5" s="556"/>
      <c r="P5" s="556"/>
      <c r="Q5" s="557"/>
      <c r="R5" s="557"/>
      <c r="S5" s="557"/>
      <c r="T5" s="49"/>
      <c r="U5" s="617"/>
      <c r="V5" s="618"/>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9"/>
      <c r="AW5" s="156"/>
      <c r="AX5" s="614"/>
      <c r="AY5" s="616"/>
      <c r="AZ5" s="185"/>
      <c r="BA5" s="185"/>
      <c r="BB5" s="185"/>
      <c r="BC5" s="185"/>
      <c r="BD5" s="185"/>
      <c r="BE5" s="185"/>
    </row>
    <row r="6" spans="1:66" ht="45" customHeight="1" thickBot="1" x14ac:dyDescent="0.3">
      <c r="H6" s="3"/>
      <c r="I6" s="3"/>
      <c r="J6" s="3"/>
      <c r="K6" s="3"/>
      <c r="L6" s="3"/>
      <c r="M6" s="3"/>
      <c r="N6" s="3"/>
      <c r="O6" s="3"/>
      <c r="P6" s="3"/>
      <c r="Q6" s="426"/>
      <c r="R6" s="426"/>
      <c r="S6" s="426"/>
      <c r="T6" s="426"/>
      <c r="U6" s="628" t="s">
        <v>75</v>
      </c>
      <c r="V6" s="628"/>
      <c r="W6" s="628"/>
      <c r="X6" s="628"/>
      <c r="Y6" s="628"/>
      <c r="Z6" s="628"/>
      <c r="AA6" s="628"/>
      <c r="AB6" s="628"/>
      <c r="AC6" s="628"/>
      <c r="AD6" s="628"/>
      <c r="AE6" s="427"/>
      <c r="AF6" s="427"/>
      <c r="AG6" s="427"/>
      <c r="AH6" s="427"/>
      <c r="AI6" s="427"/>
      <c r="AJ6" s="427"/>
      <c r="AK6" s="427"/>
      <c r="AL6" s="427"/>
      <c r="AM6" s="428" t="s">
        <v>77</v>
      </c>
      <c r="AN6" s="429"/>
      <c r="AO6" s="429"/>
      <c r="AP6" s="429"/>
      <c r="AQ6" s="429"/>
      <c r="AR6" s="429"/>
      <c r="AS6" s="429"/>
      <c r="AT6" s="429"/>
      <c r="AU6" s="429"/>
      <c r="AV6" s="426"/>
      <c r="AW6" s="426"/>
      <c r="AX6" s="426"/>
      <c r="AY6" s="426"/>
      <c r="AZ6" s="101"/>
      <c r="BA6" s="101"/>
      <c r="BB6" s="101"/>
      <c r="BC6" s="101"/>
      <c r="BD6" s="101"/>
      <c r="BE6" s="101"/>
    </row>
    <row r="7" spans="1:66" s="118" customFormat="1" ht="43.5" customHeight="1" thickBot="1" x14ac:dyDescent="0.3">
      <c r="A7" s="112" t="s">
        <v>58</v>
      </c>
      <c r="B7" s="113" t="s">
        <v>18</v>
      </c>
      <c r="C7" s="176"/>
      <c r="D7" s="176"/>
      <c r="E7" s="176"/>
      <c r="F7" s="176"/>
      <c r="G7" s="262" t="s">
        <v>18</v>
      </c>
      <c r="H7" s="114" t="s">
        <v>2</v>
      </c>
      <c r="I7" s="115"/>
      <c r="J7" s="116" t="s">
        <v>3</v>
      </c>
      <c r="K7" s="116" t="s">
        <v>4</v>
      </c>
      <c r="L7" s="117" t="s">
        <v>0</v>
      </c>
      <c r="M7" s="139"/>
      <c r="N7" s="139"/>
      <c r="O7" s="139"/>
      <c r="P7" s="216" t="s">
        <v>69</v>
      </c>
      <c r="Q7" s="586" t="s">
        <v>115</v>
      </c>
      <c r="R7" s="587"/>
      <c r="S7" s="587"/>
      <c r="T7" s="588"/>
      <c r="U7" s="452" t="s">
        <v>116</v>
      </c>
      <c r="V7" s="423"/>
      <c r="W7" s="423"/>
      <c r="X7" s="423"/>
      <c r="Y7" s="423"/>
      <c r="Z7" s="423"/>
      <c r="AA7" s="423"/>
      <c r="AB7" s="423"/>
      <c r="AC7" s="423"/>
      <c r="AD7" s="423" t="s">
        <v>68</v>
      </c>
      <c r="AE7" s="423"/>
      <c r="AF7" s="423"/>
      <c r="AG7" s="423"/>
      <c r="AH7" s="423"/>
      <c r="AI7" s="423"/>
      <c r="AJ7" s="423"/>
      <c r="AK7" s="423"/>
      <c r="AL7" s="423"/>
      <c r="AM7" s="424" t="s">
        <v>91</v>
      </c>
      <c r="AN7" s="425"/>
      <c r="AO7" s="425"/>
      <c r="AP7" s="425"/>
      <c r="AQ7" s="425"/>
      <c r="AR7" s="425"/>
      <c r="AS7" s="425"/>
      <c r="AT7" s="425"/>
      <c r="AU7" s="425"/>
      <c r="AZ7" s="186"/>
      <c r="BA7" s="186"/>
      <c r="BB7" s="186"/>
      <c r="BC7" s="186"/>
      <c r="BD7" s="186"/>
      <c r="BE7" s="186"/>
      <c r="BG7" s="135" t="s">
        <v>61</v>
      </c>
      <c r="BH7" s="142"/>
      <c r="BI7" s="142"/>
      <c r="BJ7" s="142"/>
      <c r="BK7" s="142"/>
      <c r="BL7" s="163" t="s">
        <v>70</v>
      </c>
    </row>
    <row r="8" spans="1:66" ht="0.95" customHeight="1" x14ac:dyDescent="0.25">
      <c r="A8" s="81"/>
      <c r="B8" s="82"/>
      <c r="C8" s="177"/>
      <c r="D8" s="177"/>
      <c r="E8" s="177"/>
      <c r="F8" s="177"/>
      <c r="G8" s="263"/>
      <c r="H8" s="75"/>
      <c r="I8" s="70"/>
      <c r="J8" s="71"/>
      <c r="K8" s="71"/>
      <c r="L8" s="72"/>
      <c r="M8" s="140"/>
      <c r="N8" s="140"/>
      <c r="O8" s="140"/>
      <c r="P8" s="140"/>
      <c r="Q8" s="73"/>
      <c r="R8" s="73"/>
      <c r="S8" s="74"/>
      <c r="T8" s="74"/>
      <c r="U8" s="74"/>
      <c r="V8" s="74"/>
      <c r="W8" s="74"/>
      <c r="X8" s="74"/>
      <c r="Y8" s="74"/>
      <c r="Z8" s="74"/>
      <c r="AA8" s="74"/>
      <c r="AB8" s="74"/>
      <c r="AC8" s="74"/>
      <c r="AD8" s="74"/>
      <c r="AE8" s="74"/>
      <c r="AF8" s="74"/>
      <c r="AG8" s="74"/>
      <c r="AH8" s="74"/>
      <c r="AI8" s="74"/>
      <c r="AJ8" s="74"/>
      <c r="AK8" s="74"/>
      <c r="AL8" s="74"/>
      <c r="AM8" s="161"/>
      <c r="AN8" s="161"/>
      <c r="AO8" s="161"/>
      <c r="AP8" s="161"/>
      <c r="AQ8" s="161"/>
      <c r="AR8" s="161"/>
      <c r="AS8" s="161"/>
      <c r="AT8" s="161"/>
      <c r="AU8" s="161"/>
      <c r="AZ8" s="187"/>
      <c r="BA8" s="187"/>
      <c r="BB8" s="187"/>
      <c r="BC8" s="187"/>
      <c r="BD8" s="187"/>
      <c r="BE8" s="187"/>
      <c r="BG8" s="136"/>
      <c r="BH8" s="143"/>
      <c r="BI8" s="143"/>
      <c r="BJ8" s="143"/>
      <c r="BK8" s="143"/>
      <c r="BL8" s="166"/>
    </row>
    <row r="9" spans="1:66" ht="15.95" customHeight="1" x14ac:dyDescent="0.25">
      <c r="A9" s="83"/>
      <c r="B9" s="84">
        <f>IF($I9&lt;&gt;"",IF(WEEKDAY($I9,2)&lt;6,IF(VLOOKUP(WEEKDAY($I9,2),InputUge,3)&gt;0,IF($A9="",VLOOKUP(WEEKDAY($I9,2),InputUge,3)+MAX(B$8:B8),IF($A9&lt;VLOOKUP(WEEKDAY($I9,2),InputUge,3),$A9+MAX(B$8:B8),VLOOKUP(WEEKDAY($I9,2),InputUge,3)+MAX(B$8:B8))),""),""),"")</f>
        <v>7.0666666666666664</v>
      </c>
      <c r="C9" s="144">
        <f>IF(B9&lt;0,-1,1)</f>
        <v>1</v>
      </c>
      <c r="D9" s="146">
        <f>FLOOR(B9,C9)</f>
        <v>7</v>
      </c>
      <c r="E9" s="146">
        <f>+B9-D9</f>
        <v>6.666666666666643E-2</v>
      </c>
      <c r="F9" s="146">
        <f>+E9/100*60</f>
        <v>3.9999999999999855E-2</v>
      </c>
      <c r="G9" s="261">
        <f t="shared" ref="G9:G39" si="0">+F9+D9</f>
        <v>7.04</v>
      </c>
      <c r="H9" s="4">
        <v>1</v>
      </c>
      <c r="I9" s="16">
        <f>+Sep!I38+1</f>
        <v>41548</v>
      </c>
      <c r="J9" s="6">
        <v>0.34826388888888887</v>
      </c>
      <c r="K9" s="6">
        <v>0.64236111111111105</v>
      </c>
      <c r="L9" s="5">
        <f>IF(K9&gt;0,ROUND(((K9-J9)*24)-SUM(BR9:BS9)+BT9,2)+IF(Fredagsfrokost="n",IF(WEEKDAY($I9,2)=5,IF(K9&gt;=0.5,IF(K9&lt;=13/24,0,0),0),0),0),IF(AW9&gt;0,AW9,""))</f>
        <v>7.06</v>
      </c>
      <c r="M9" s="141">
        <f t="shared" ref="M9:M40" si="1">FLOOR(L9,1)</f>
        <v>7</v>
      </c>
      <c r="N9" s="141">
        <f t="shared" ref="N9:N40" si="2">+L9-M9</f>
        <v>5.9999999999999609E-2</v>
      </c>
      <c r="O9" s="141">
        <f t="shared" ref="O9:O40" si="3">+N9/100*60</f>
        <v>3.5999999999999761E-2</v>
      </c>
      <c r="P9" s="162">
        <f t="shared" ref="P9:P39" si="4">IF(J9="","",O9+M9)</f>
        <v>7.0359999999999996</v>
      </c>
      <c r="Q9" s="591"/>
      <c r="R9" s="592"/>
      <c r="S9" s="592"/>
      <c r="T9" s="593"/>
      <c r="U9" s="417"/>
      <c r="V9" s="240">
        <f t="shared" ref="V9:V39" si="5">FLOOR(U9,1)</f>
        <v>0</v>
      </c>
      <c r="W9" s="240">
        <f>+U9-V9</f>
        <v>0</v>
      </c>
      <c r="X9" s="240">
        <f t="shared" ref="X9:X39" si="6">+W9/60*100</f>
        <v>0</v>
      </c>
      <c r="Y9" s="242">
        <f>+X9+V9</f>
        <v>0</v>
      </c>
      <c r="Z9" s="417"/>
      <c r="AA9" s="417"/>
      <c r="AB9" s="417"/>
      <c r="AC9" s="417"/>
      <c r="AD9" s="417"/>
      <c r="AE9" s="240">
        <f t="shared" ref="AE9:AE39" si="7">FLOOR(AD9,1)</f>
        <v>0</v>
      </c>
      <c r="AF9" s="240">
        <f>+AD9-AE9</f>
        <v>0</v>
      </c>
      <c r="AG9" s="240">
        <f t="shared" ref="AG9:AG39" si="8">+AF9/60*100</f>
        <v>0</v>
      </c>
      <c r="AH9" s="242">
        <f>+AG9+AE9</f>
        <v>0</v>
      </c>
      <c r="AI9" s="417"/>
      <c r="AJ9" s="417"/>
      <c r="AK9" s="417"/>
      <c r="AL9" s="417"/>
      <c r="AM9" s="472"/>
      <c r="AN9" s="240">
        <f t="shared" ref="AN9:AN38" si="9">FLOOR(AM9,1)</f>
        <v>0</v>
      </c>
      <c r="AO9" s="240">
        <f t="shared" ref="AO9:AO39" si="10">+AM9-AN9</f>
        <v>0</v>
      </c>
      <c r="AP9" s="240">
        <f t="shared" ref="AP9:AP39" si="11">+AO9/60*100</f>
        <v>0</v>
      </c>
      <c r="AQ9" s="242">
        <f>+AP9+AN9</f>
        <v>0</v>
      </c>
      <c r="AR9" s="245"/>
      <c r="AS9" s="245"/>
      <c r="AT9" s="245"/>
      <c r="AU9" s="419"/>
      <c r="AZ9" s="189"/>
      <c r="BA9" s="189"/>
      <c r="BB9" s="189"/>
      <c r="BC9" s="189"/>
      <c r="BD9" s="189"/>
      <c r="BE9" s="189"/>
      <c r="BG9" s="145">
        <f>IF($K9&gt;=0,+SUM(L$9:$L9)-$B9+Okt!$AZ$41+SUM(AQ$9:$AQ9)," ")</f>
        <v>-6.6666666666668206E-3</v>
      </c>
      <c r="BH9" s="144">
        <f>IF(BG9&lt;0,-1,1)</f>
        <v>-1</v>
      </c>
      <c r="BI9" s="146">
        <f>FLOOR(BG9,BH9)</f>
        <v>0</v>
      </c>
      <c r="BJ9" s="146">
        <f>+BG9-BI9</f>
        <v>-6.6666666666668206E-3</v>
      </c>
      <c r="BK9" s="146">
        <f>+BJ9/100*60</f>
        <v>-4.000000000000092E-3</v>
      </c>
      <c r="BL9" s="164">
        <f>IF(BN9=2,+BK9+BI9,"")</f>
        <v>-4.000000000000092E-3</v>
      </c>
      <c r="BM9" s="157">
        <f>+P9</f>
        <v>7.0359999999999996</v>
      </c>
      <c r="BN9">
        <f t="shared" ref="BN9:BN39" si="12">+IF(BM9="",1,2)</f>
        <v>2</v>
      </c>
    </row>
    <row r="10" spans="1:66" ht="15.95" customHeight="1" x14ac:dyDescent="0.25">
      <c r="A10" s="83"/>
      <c r="B10" s="84">
        <f>IF($I10&lt;&gt;"",IF(WEEKDAY($I10,2)&lt;6,IF(VLOOKUP(WEEKDAY($I10,2),InputUge,3)&gt;0,IF($A10="",VLOOKUP(WEEKDAY($I10,2),InputUge,3)+MAX(B$8:B9),IF($A10&lt;VLOOKUP(WEEKDAY($I10,2),InputUge,3),$A10+MAX(B$8:B9),VLOOKUP(WEEKDAY($I10,2),InputUge,3)+MAX(B$8:B9))),""),""),"")</f>
        <v>14.133333333333333</v>
      </c>
      <c r="C10" s="144">
        <f t="shared" ref="C10:C39" si="13">IF(B10&lt;0,-1,1)</f>
        <v>1</v>
      </c>
      <c r="D10" s="146">
        <f t="shared" ref="D10:D39" si="14">FLOOR(B10,C10)</f>
        <v>14</v>
      </c>
      <c r="E10" s="146">
        <f t="shared" ref="E10:E39" si="15">+B10-D10</f>
        <v>0.13333333333333286</v>
      </c>
      <c r="F10" s="146">
        <f t="shared" ref="F10:F39" si="16">+E10/100*60</f>
        <v>7.999999999999971E-2</v>
      </c>
      <c r="G10" s="261">
        <f t="shared" si="0"/>
        <v>14.08</v>
      </c>
      <c r="H10" s="4">
        <v>2</v>
      </c>
      <c r="I10" s="16">
        <f t="shared" ref="I10:I39" si="17">+I9+1</f>
        <v>41549</v>
      </c>
      <c r="J10" s="6">
        <v>0.34791666666666665</v>
      </c>
      <c r="K10" s="6">
        <v>0.64236111111111105</v>
      </c>
      <c r="L10" s="5">
        <f>IF(K10&gt;0,ROUND(((K10-J10)*24)-SUM(BR10:BS10)+BT10,2)+IF(Fredagsfrokost="n",IF(WEEKDAY($I10,2)=5,IF(K10&gt;=0.5,IF(K10&lt;=13/24,0,0),0),0),0),IF(AW10&gt;0,AW10,""))</f>
        <v>7.07</v>
      </c>
      <c r="M10" s="141">
        <f t="shared" si="1"/>
        <v>7</v>
      </c>
      <c r="N10" s="141">
        <f t="shared" si="2"/>
        <v>7.0000000000000284E-2</v>
      </c>
      <c r="O10" s="141">
        <f t="shared" si="3"/>
        <v>4.2000000000000169E-2</v>
      </c>
      <c r="P10" s="162">
        <f t="shared" si="4"/>
        <v>7.0419999999999998</v>
      </c>
      <c r="Q10" s="591"/>
      <c r="R10" s="592"/>
      <c r="S10" s="592"/>
      <c r="T10" s="593"/>
      <c r="U10" s="417"/>
      <c r="V10" s="240">
        <f t="shared" si="5"/>
        <v>0</v>
      </c>
      <c r="W10" s="240">
        <f t="shared" ref="W10:W39" si="18">+U10-V10</f>
        <v>0</v>
      </c>
      <c r="X10" s="240">
        <f t="shared" si="6"/>
        <v>0</v>
      </c>
      <c r="Y10" s="242">
        <f t="shared" ref="Y10:Y38" si="19">+X10+V10</f>
        <v>0</v>
      </c>
      <c r="Z10" s="417"/>
      <c r="AA10" s="417"/>
      <c r="AB10" s="417"/>
      <c r="AC10" s="417"/>
      <c r="AD10" s="417"/>
      <c r="AE10" s="240">
        <f t="shared" si="7"/>
        <v>0</v>
      </c>
      <c r="AF10" s="240">
        <f t="shared" ref="AF10:AF39" si="20">+AD10-AE10</f>
        <v>0</v>
      </c>
      <c r="AG10" s="240">
        <f t="shared" si="8"/>
        <v>0</v>
      </c>
      <c r="AH10" s="242">
        <f t="shared" ref="AH10:AH39" si="21">+AG10+AE10</f>
        <v>0</v>
      </c>
      <c r="AI10" s="417"/>
      <c r="AJ10" s="417"/>
      <c r="AK10" s="417"/>
      <c r="AL10" s="417"/>
      <c r="AM10" s="472"/>
      <c r="AN10" s="240">
        <f t="shared" si="9"/>
        <v>0</v>
      </c>
      <c r="AO10" s="240">
        <f t="shared" si="10"/>
        <v>0</v>
      </c>
      <c r="AP10" s="240">
        <f t="shared" si="11"/>
        <v>0</v>
      </c>
      <c r="AQ10" s="242">
        <f t="shared" ref="AQ10:AQ39" si="22">+AP10+AN10</f>
        <v>0</v>
      </c>
      <c r="AR10" s="245"/>
      <c r="AS10" s="245"/>
      <c r="AT10" s="245"/>
      <c r="AU10" s="419"/>
      <c r="AZ10" s="189"/>
      <c r="BA10" s="189"/>
      <c r="BB10" s="189"/>
      <c r="BC10" s="189"/>
      <c r="BD10" s="189"/>
      <c r="BE10" s="189"/>
      <c r="BG10" s="145">
        <f>IF($K10&gt;=0,+SUM(L$9:$L10)-$B10+Okt!$AZ$41+SUM(AQ$9:$AQ10)," ")</f>
        <v>-3.3333333333338544E-3</v>
      </c>
      <c r="BH10" s="144">
        <f t="shared" ref="BH10:BH39" si="23">IF(BG10&lt;0,-1,1)</f>
        <v>-1</v>
      </c>
      <c r="BI10" s="146">
        <f t="shared" ref="BI10:BI37" si="24">FLOOR(BG10,BH10)</f>
        <v>0</v>
      </c>
      <c r="BJ10" s="146">
        <f t="shared" ref="BJ10:BJ37" si="25">+BG10-BI10</f>
        <v>-3.3333333333338544E-3</v>
      </c>
      <c r="BK10" s="146">
        <f t="shared" ref="BK10:BK39" si="26">+BJ10/100*60</f>
        <v>-2.0000000000003127E-3</v>
      </c>
      <c r="BL10" s="164">
        <f t="shared" ref="BL10:BL37" si="27">IF(BN10=2,+BK10+BI10,"")</f>
        <v>-2.0000000000003127E-3</v>
      </c>
      <c r="BM10" s="157">
        <f t="shared" ref="BM10:BM37" si="28">+P10</f>
        <v>7.0419999999999998</v>
      </c>
      <c r="BN10">
        <f t="shared" si="12"/>
        <v>2</v>
      </c>
    </row>
    <row r="11" spans="1:66" ht="15.95" customHeight="1" x14ac:dyDescent="0.25">
      <c r="A11" s="83"/>
      <c r="B11" s="84">
        <f>IF($I11&lt;&gt;"",IF(WEEKDAY($I11,2)&lt;6,IF(VLOOKUP(WEEKDAY($I11,2),InputUge,3)&gt;0,IF($A11="",VLOOKUP(WEEKDAY($I11,2),InputUge,3)+MAX(B$8:B10),IF($A11&lt;VLOOKUP(WEEKDAY($I11,2),InputUge,3),$A11+MAX(B$8:B10),VLOOKUP(WEEKDAY($I11,2),InputUge,3)+MAX(B$8:B10))),""),""),"")</f>
        <v>23.543333333333333</v>
      </c>
      <c r="C11" s="144">
        <f t="shared" si="13"/>
        <v>1</v>
      </c>
      <c r="D11" s="146">
        <f t="shared" si="14"/>
        <v>23</v>
      </c>
      <c r="E11" s="146">
        <f t="shared" si="15"/>
        <v>0.543333333333333</v>
      </c>
      <c r="F11" s="146">
        <f t="shared" si="16"/>
        <v>0.32599999999999979</v>
      </c>
      <c r="G11" s="261">
        <f t="shared" si="0"/>
        <v>23.326000000000001</v>
      </c>
      <c r="H11" s="4">
        <v>3</v>
      </c>
      <c r="I11" s="16">
        <f t="shared" si="17"/>
        <v>41550</v>
      </c>
      <c r="J11" s="6">
        <v>0.34791666666666665</v>
      </c>
      <c r="K11" s="6">
        <v>0.73981481481481481</v>
      </c>
      <c r="L11" s="5">
        <f>IF(K11&gt;0,ROUND(((K11-J11)*24)-SUM(BR11:BS11)+BT11,2)+IF(Fredagsfrokost="n",IF(WEEKDAY($I11,2)=5,IF(K11&gt;=0.5,IF(K11&lt;=13/24,0,0),0),0),0),IF(AW11&gt;0,AW11,""))</f>
        <v>9.41</v>
      </c>
      <c r="M11" s="141">
        <f t="shared" si="1"/>
        <v>9</v>
      </c>
      <c r="N11" s="141">
        <f t="shared" si="2"/>
        <v>0.41000000000000014</v>
      </c>
      <c r="O11" s="141">
        <f t="shared" si="3"/>
        <v>0.24600000000000008</v>
      </c>
      <c r="P11" s="162">
        <f t="shared" si="4"/>
        <v>9.2460000000000004</v>
      </c>
      <c r="Q11" s="591"/>
      <c r="R11" s="592"/>
      <c r="S11" s="592"/>
      <c r="T11" s="593"/>
      <c r="U11" s="417"/>
      <c r="V11" s="240">
        <f t="shared" si="5"/>
        <v>0</v>
      </c>
      <c r="W11" s="240">
        <f t="shared" si="18"/>
        <v>0</v>
      </c>
      <c r="X11" s="240">
        <f t="shared" si="6"/>
        <v>0</v>
      </c>
      <c r="Y11" s="242">
        <f t="shared" si="19"/>
        <v>0</v>
      </c>
      <c r="Z11" s="417"/>
      <c r="AA11" s="417"/>
      <c r="AB11" s="417"/>
      <c r="AC11" s="417"/>
      <c r="AD11" s="417"/>
      <c r="AE11" s="240">
        <f t="shared" si="7"/>
        <v>0</v>
      </c>
      <c r="AF11" s="240">
        <f t="shared" si="20"/>
        <v>0</v>
      </c>
      <c r="AG11" s="240">
        <f t="shared" si="8"/>
        <v>0</v>
      </c>
      <c r="AH11" s="242">
        <f t="shared" si="21"/>
        <v>0</v>
      </c>
      <c r="AI11" s="417"/>
      <c r="AJ11" s="417"/>
      <c r="AK11" s="417"/>
      <c r="AL11" s="417"/>
      <c r="AM11" s="472"/>
      <c r="AN11" s="240">
        <f t="shared" si="9"/>
        <v>0</v>
      </c>
      <c r="AO11" s="240">
        <f t="shared" si="10"/>
        <v>0</v>
      </c>
      <c r="AP11" s="240">
        <f t="shared" si="11"/>
        <v>0</v>
      </c>
      <c r="AQ11" s="242">
        <f t="shared" si="22"/>
        <v>0</v>
      </c>
      <c r="AR11" s="245"/>
      <c r="AS11" s="245"/>
      <c r="AT11" s="245"/>
      <c r="AU11" s="420"/>
      <c r="AZ11" s="189"/>
      <c r="BA11" s="189"/>
      <c r="BB11" s="189"/>
      <c r="BC11" s="189"/>
      <c r="BD11" s="189"/>
      <c r="BE11" s="189"/>
      <c r="BG11" s="145">
        <f>IF($K11&gt;=0,+SUM(L$9:$L11)-$B11+Okt!$AZ$41+SUM(AQ$9:$AQ11)," ")</f>
        <v>-3.3333333333338544E-3</v>
      </c>
      <c r="BH11" s="144">
        <f t="shared" si="23"/>
        <v>-1</v>
      </c>
      <c r="BI11" s="146">
        <f>FLOOR(BG11,BH11)</f>
        <v>0</v>
      </c>
      <c r="BJ11" s="146">
        <f>+BG11-BI11</f>
        <v>-3.3333333333338544E-3</v>
      </c>
      <c r="BK11" s="146">
        <f t="shared" si="26"/>
        <v>-2.0000000000003127E-3</v>
      </c>
      <c r="BL11" s="164">
        <f>IF(BN11=2,+BK11+BI11,"")</f>
        <v>-2.0000000000003127E-3</v>
      </c>
      <c r="BM11" s="157">
        <f>+P11</f>
        <v>9.2460000000000004</v>
      </c>
      <c r="BN11">
        <f t="shared" si="12"/>
        <v>2</v>
      </c>
    </row>
    <row r="12" spans="1:66" ht="15.95" customHeight="1" x14ac:dyDescent="0.25">
      <c r="A12" s="83"/>
      <c r="B12" s="84">
        <f>IF($I12&lt;&gt;"",IF(WEEKDAY($I12,2)&lt;6,IF(VLOOKUP(WEEKDAY($I12,2),InputUge,3)&gt;0,IF($A12="",VLOOKUP(WEEKDAY($I12,2),InputUge,3)+MAX(B$8:B11),IF($A12&lt;VLOOKUP(WEEKDAY($I12,2),InputUge,3),$A12+MAX(B$8:B11),VLOOKUP(WEEKDAY($I12,2),InputUge,3)+MAX(B$8:B11))),""),""),"")</f>
        <v>29.943333333333335</v>
      </c>
      <c r="C12" s="144">
        <f t="shared" si="13"/>
        <v>1</v>
      </c>
      <c r="D12" s="146">
        <f t="shared" si="14"/>
        <v>29</v>
      </c>
      <c r="E12" s="146">
        <f t="shared" si="15"/>
        <v>0.94333333333333513</v>
      </c>
      <c r="F12" s="146">
        <f t="shared" si="16"/>
        <v>0.56600000000000106</v>
      </c>
      <c r="G12" s="261">
        <f t="shared" si="0"/>
        <v>29.566000000000003</v>
      </c>
      <c r="H12" s="4">
        <v>4</v>
      </c>
      <c r="I12" s="16">
        <f t="shared" si="17"/>
        <v>41551</v>
      </c>
      <c r="J12" s="6">
        <v>0.34791666666666665</v>
      </c>
      <c r="K12" s="6">
        <v>0.61458333333333337</v>
      </c>
      <c r="L12" s="5">
        <f>IF(K12&gt;0,ROUND(((K12-J12)*24)-SUM(BR12:BS12)+BT12,2)+IF(Fredagsfrokost="n",IF(WEEKDAY($I12,2)=5,IF(K12&gt;=0.5,IF(K12&lt;=13/24,0,0),0),0),0),IF(AW12&gt;0,AW12,""))</f>
        <v>6.4</v>
      </c>
      <c r="M12" s="141">
        <f t="shared" si="1"/>
        <v>6</v>
      </c>
      <c r="N12" s="141">
        <f t="shared" si="2"/>
        <v>0.40000000000000036</v>
      </c>
      <c r="O12" s="141">
        <f t="shared" si="3"/>
        <v>0.24000000000000021</v>
      </c>
      <c r="P12" s="162">
        <f t="shared" si="4"/>
        <v>6.24</v>
      </c>
      <c r="Q12" s="591"/>
      <c r="R12" s="592"/>
      <c r="S12" s="592"/>
      <c r="T12" s="593"/>
      <c r="U12" s="417"/>
      <c r="V12" s="240">
        <f t="shared" si="5"/>
        <v>0</v>
      </c>
      <c r="W12" s="240">
        <f t="shared" si="18"/>
        <v>0</v>
      </c>
      <c r="X12" s="240">
        <f t="shared" si="6"/>
        <v>0</v>
      </c>
      <c r="Y12" s="242">
        <f t="shared" si="19"/>
        <v>0</v>
      </c>
      <c r="Z12" s="417"/>
      <c r="AA12" s="417"/>
      <c r="AB12" s="417"/>
      <c r="AC12" s="417"/>
      <c r="AD12" s="417"/>
      <c r="AE12" s="240">
        <f t="shared" si="7"/>
        <v>0</v>
      </c>
      <c r="AF12" s="240">
        <f t="shared" si="20"/>
        <v>0</v>
      </c>
      <c r="AG12" s="240">
        <f t="shared" si="8"/>
        <v>0</v>
      </c>
      <c r="AH12" s="242">
        <f t="shared" si="21"/>
        <v>0</v>
      </c>
      <c r="AI12" s="417"/>
      <c r="AJ12" s="417"/>
      <c r="AK12" s="417"/>
      <c r="AL12" s="417"/>
      <c r="AM12" s="472"/>
      <c r="AN12" s="240">
        <f t="shared" si="9"/>
        <v>0</v>
      </c>
      <c r="AO12" s="240">
        <f t="shared" si="10"/>
        <v>0</v>
      </c>
      <c r="AP12" s="240">
        <f t="shared" si="11"/>
        <v>0</v>
      </c>
      <c r="AQ12" s="242">
        <f t="shared" si="22"/>
        <v>0</v>
      </c>
      <c r="AR12" s="245"/>
      <c r="AS12" s="245"/>
      <c r="AT12" s="245"/>
      <c r="AU12" s="420"/>
      <c r="AZ12" s="189"/>
      <c r="BA12" s="189"/>
      <c r="BB12" s="189"/>
      <c r="BC12" s="189"/>
      <c r="BD12" s="189"/>
      <c r="BE12" s="189"/>
      <c r="BG12" s="145">
        <f>IF($K12&gt;=0,+SUM(L$9:$L12)-$B12+Okt!$AZ$41+SUM(AQ$9:$AQ12)," ")</f>
        <v>-3.3333333333374071E-3</v>
      </c>
      <c r="BH12" s="144">
        <f t="shared" si="23"/>
        <v>-1</v>
      </c>
      <c r="BI12" s="146">
        <f t="shared" si="24"/>
        <v>0</v>
      </c>
      <c r="BJ12" s="146">
        <f t="shared" si="25"/>
        <v>-3.3333333333374071E-3</v>
      </c>
      <c r="BK12" s="146">
        <f t="shared" si="26"/>
        <v>-2.0000000000024443E-3</v>
      </c>
      <c r="BL12" s="164">
        <f t="shared" si="27"/>
        <v>-2.0000000000024443E-3</v>
      </c>
      <c r="BM12" s="157">
        <f t="shared" si="28"/>
        <v>6.24</v>
      </c>
      <c r="BN12">
        <f t="shared" si="12"/>
        <v>2</v>
      </c>
    </row>
    <row r="13" spans="1:66" ht="15.95" customHeight="1" x14ac:dyDescent="0.25">
      <c r="A13" s="83"/>
      <c r="B13" s="84" t="str">
        <f>IF($I13&lt;&gt;"",IF(WEEKDAY($I13,2)&lt;6,IF(VLOOKUP(WEEKDAY($I13,2),InputUge,3)&gt;0,IF($A13="",VLOOKUP(WEEKDAY($I13,2),InputUge,3)+MAX(B$8:B12),IF($A13&lt;VLOOKUP(WEEKDAY($I13,2),InputUge,3),$A13+MAX(B$8:B12),VLOOKUP(WEEKDAY($I13,2),InputUge,3)+MAX(B$8:B12))),""),""),"")</f>
        <v/>
      </c>
      <c r="C13" s="144">
        <f t="shared" si="13"/>
        <v>1</v>
      </c>
      <c r="D13" s="146" t="e">
        <f t="shared" si="14"/>
        <v>#VALUE!</v>
      </c>
      <c r="E13" s="146" t="e">
        <f t="shared" si="15"/>
        <v>#VALUE!</v>
      </c>
      <c r="F13" s="146" t="e">
        <f t="shared" si="16"/>
        <v>#VALUE!</v>
      </c>
      <c r="G13" s="261"/>
      <c r="H13" s="4">
        <v>5</v>
      </c>
      <c r="I13" s="16">
        <f t="shared" si="17"/>
        <v>41552</v>
      </c>
      <c r="J13" s="6"/>
      <c r="K13" s="6"/>
      <c r="L13" s="5"/>
      <c r="M13" s="141"/>
      <c r="N13" s="141"/>
      <c r="O13" s="141"/>
      <c r="P13" s="162"/>
      <c r="Q13" s="591"/>
      <c r="R13" s="592"/>
      <c r="S13" s="592"/>
      <c r="T13" s="593"/>
      <c r="U13" s="417"/>
      <c r="V13" s="240">
        <f t="shared" si="5"/>
        <v>0</v>
      </c>
      <c r="W13" s="240">
        <f t="shared" si="18"/>
        <v>0</v>
      </c>
      <c r="X13" s="240">
        <f t="shared" si="6"/>
        <v>0</v>
      </c>
      <c r="Y13" s="242">
        <f t="shared" si="19"/>
        <v>0</v>
      </c>
      <c r="Z13" s="417"/>
      <c r="AA13" s="417"/>
      <c r="AB13" s="417"/>
      <c r="AC13" s="417"/>
      <c r="AD13" s="417"/>
      <c r="AE13" s="240">
        <f t="shared" si="7"/>
        <v>0</v>
      </c>
      <c r="AF13" s="240">
        <f t="shared" si="20"/>
        <v>0</v>
      </c>
      <c r="AG13" s="240">
        <f t="shared" si="8"/>
        <v>0</v>
      </c>
      <c r="AH13" s="242">
        <f t="shared" si="21"/>
        <v>0</v>
      </c>
      <c r="AI13" s="417"/>
      <c r="AJ13" s="417"/>
      <c r="AK13" s="417"/>
      <c r="AL13" s="417"/>
      <c r="AM13" s="472"/>
      <c r="AN13" s="240">
        <f t="shared" si="9"/>
        <v>0</v>
      </c>
      <c r="AO13" s="240">
        <f t="shared" si="10"/>
        <v>0</v>
      </c>
      <c r="AP13" s="240">
        <f t="shared" si="11"/>
        <v>0</v>
      </c>
      <c r="AQ13" s="242">
        <f t="shared" si="22"/>
        <v>0</v>
      </c>
      <c r="AR13" s="245"/>
      <c r="AS13" s="245"/>
      <c r="AT13" s="245"/>
      <c r="AU13" s="240"/>
      <c r="AZ13" s="189"/>
      <c r="BA13" s="189"/>
      <c r="BB13" s="189"/>
      <c r="BC13" s="189"/>
      <c r="BD13" s="189"/>
      <c r="BE13" s="189"/>
      <c r="BG13" s="145" t="e">
        <f>IF($K13&gt;=0,+SUM(L$9:$L13)-$B13+Okt!$AZ$41+SUM(AQ$9:$AQ13)," ")</f>
        <v>#VALUE!</v>
      </c>
      <c r="BH13" s="144" t="e">
        <f t="shared" si="23"/>
        <v>#VALUE!</v>
      </c>
      <c r="BI13" s="146" t="e">
        <f t="shared" si="24"/>
        <v>#VALUE!</v>
      </c>
      <c r="BJ13" s="146" t="e">
        <f t="shared" si="25"/>
        <v>#VALUE!</v>
      </c>
      <c r="BK13" s="146" t="e">
        <f t="shared" si="26"/>
        <v>#VALUE!</v>
      </c>
      <c r="BL13" s="164"/>
      <c r="BM13" s="157">
        <f t="shared" si="28"/>
        <v>0</v>
      </c>
      <c r="BN13">
        <f t="shared" si="12"/>
        <v>2</v>
      </c>
    </row>
    <row r="14" spans="1:66" ht="15.95" customHeight="1" x14ac:dyDescent="0.25">
      <c r="A14" s="83"/>
      <c r="B14" s="84" t="str">
        <f>IF($I14&lt;&gt;"",IF(WEEKDAY($I14,2)&lt;6,IF(VLOOKUP(WEEKDAY($I14,2),InputUge,3)&gt;0,IF($A14="",VLOOKUP(WEEKDAY($I14,2),InputUge,3)+MAX(B$8:B13),IF($A14&lt;VLOOKUP(WEEKDAY($I14,2),InputUge,3),$A14+MAX(B$8:B13),VLOOKUP(WEEKDAY($I14,2),InputUge,3)+MAX(B$8:B13))),""),""),"")</f>
        <v/>
      </c>
      <c r="C14" s="144">
        <f t="shared" si="13"/>
        <v>1</v>
      </c>
      <c r="D14" s="146" t="e">
        <f t="shared" si="14"/>
        <v>#VALUE!</v>
      </c>
      <c r="E14" s="146" t="e">
        <f t="shared" si="15"/>
        <v>#VALUE!</v>
      </c>
      <c r="F14" s="146" t="e">
        <f t="shared" si="16"/>
        <v>#VALUE!</v>
      </c>
      <c r="G14" s="261"/>
      <c r="H14" s="4">
        <v>6</v>
      </c>
      <c r="I14" s="16">
        <f t="shared" si="17"/>
        <v>41553</v>
      </c>
      <c r="J14" s="6"/>
      <c r="K14" s="6"/>
      <c r="L14" s="5"/>
      <c r="M14" s="141">
        <f t="shared" si="1"/>
        <v>0</v>
      </c>
      <c r="N14" s="141">
        <f t="shared" si="2"/>
        <v>0</v>
      </c>
      <c r="O14" s="141">
        <f t="shared" si="3"/>
        <v>0</v>
      </c>
      <c r="P14" s="141" t="str">
        <f t="shared" si="4"/>
        <v/>
      </c>
      <c r="Q14" s="591"/>
      <c r="R14" s="592"/>
      <c r="S14" s="592"/>
      <c r="T14" s="593"/>
      <c r="U14" s="417"/>
      <c r="V14" s="240">
        <f t="shared" si="5"/>
        <v>0</v>
      </c>
      <c r="W14" s="240">
        <f t="shared" si="18"/>
        <v>0</v>
      </c>
      <c r="X14" s="240">
        <f t="shared" si="6"/>
        <v>0</v>
      </c>
      <c r="Y14" s="242">
        <f t="shared" si="19"/>
        <v>0</v>
      </c>
      <c r="Z14" s="417"/>
      <c r="AA14" s="417"/>
      <c r="AB14" s="417"/>
      <c r="AC14" s="417"/>
      <c r="AD14" s="417"/>
      <c r="AE14" s="240">
        <f t="shared" si="7"/>
        <v>0</v>
      </c>
      <c r="AF14" s="240">
        <f t="shared" si="20"/>
        <v>0</v>
      </c>
      <c r="AG14" s="240">
        <f t="shared" si="8"/>
        <v>0</v>
      </c>
      <c r="AH14" s="242">
        <f t="shared" si="21"/>
        <v>0</v>
      </c>
      <c r="AI14" s="417"/>
      <c r="AJ14" s="417"/>
      <c r="AK14" s="417"/>
      <c r="AL14" s="417"/>
      <c r="AM14" s="472"/>
      <c r="AN14" s="240">
        <f t="shared" si="9"/>
        <v>0</v>
      </c>
      <c r="AO14" s="240">
        <f t="shared" si="10"/>
        <v>0</v>
      </c>
      <c r="AP14" s="240">
        <f t="shared" si="11"/>
        <v>0</v>
      </c>
      <c r="AQ14" s="242">
        <f t="shared" si="22"/>
        <v>0</v>
      </c>
      <c r="AR14" s="245"/>
      <c r="AS14" s="245"/>
      <c r="AT14" s="245"/>
      <c r="AU14" s="420"/>
      <c r="AZ14" s="189"/>
      <c r="BA14" s="189"/>
      <c r="BB14" s="189"/>
      <c r="BC14" s="189"/>
      <c r="BD14" s="189"/>
      <c r="BE14" s="189"/>
      <c r="BG14" s="145" t="e">
        <f>IF($K14&gt;=0,+SUM(L$9:$L14)-$B14+Okt!$AZ$41+SUM(AQ$9:$AQ14)," ")</f>
        <v>#VALUE!</v>
      </c>
      <c r="BH14" s="144" t="e">
        <f t="shared" si="23"/>
        <v>#VALUE!</v>
      </c>
      <c r="BI14" s="146" t="e">
        <f t="shared" si="24"/>
        <v>#VALUE!</v>
      </c>
      <c r="BJ14" s="146" t="e">
        <f t="shared" si="25"/>
        <v>#VALUE!</v>
      </c>
      <c r="BK14" s="146" t="e">
        <f t="shared" si="26"/>
        <v>#VALUE!</v>
      </c>
      <c r="BL14" s="164" t="str">
        <f t="shared" si="27"/>
        <v/>
      </c>
      <c r="BM14" s="157" t="str">
        <f t="shared" si="28"/>
        <v/>
      </c>
      <c r="BN14">
        <f t="shared" si="12"/>
        <v>1</v>
      </c>
    </row>
    <row r="15" spans="1:66" ht="15.95" customHeight="1" x14ac:dyDescent="0.25">
      <c r="A15" s="83"/>
      <c r="B15" s="84">
        <f>IF($I15&lt;&gt;"",IF(WEEKDAY($I15,2)&lt;6,IF(VLOOKUP(WEEKDAY($I15,2),InputUge,3)&gt;0,IF($A15="",VLOOKUP(WEEKDAY($I15,2),InputUge,3)+MAX(B$8:B14),IF($A15&lt;VLOOKUP(WEEKDAY($I15,2),InputUge,3),$A15+MAX(B$8:B14),VLOOKUP(WEEKDAY($I15,2),InputUge,3)+MAX(B$8:B14))),""),""),"")</f>
        <v>37.006666666666668</v>
      </c>
      <c r="C15" s="144">
        <f t="shared" si="13"/>
        <v>1</v>
      </c>
      <c r="D15" s="146">
        <f t="shared" si="14"/>
        <v>37</v>
      </c>
      <c r="E15" s="146">
        <f t="shared" si="15"/>
        <v>6.6666666666677088E-3</v>
      </c>
      <c r="F15" s="146">
        <f t="shared" si="16"/>
        <v>4.0000000000006255E-3</v>
      </c>
      <c r="G15" s="261">
        <f t="shared" si="0"/>
        <v>37.003999999999998</v>
      </c>
      <c r="H15" s="4">
        <v>7</v>
      </c>
      <c r="I15" s="16">
        <f t="shared" si="17"/>
        <v>41554</v>
      </c>
      <c r="J15" s="6">
        <v>0.34826388888888887</v>
      </c>
      <c r="K15" s="6">
        <v>0.64236111111111105</v>
      </c>
      <c r="L15" s="5">
        <f>IF(K15&gt;0,ROUND(((K15-J15)*24)-SUM(BR15:BS15)+BT15,2)+IF(Fredagsfrokost="n",IF(WEEKDAY($I15,2)=5,IF(K15&gt;=0.5,IF(K15&lt;=13/24,0,0),0),0),0),IF(AW15&gt;0,AW15,""))</f>
        <v>7.06</v>
      </c>
      <c r="M15" s="141">
        <f>FLOOR(L15,1)</f>
        <v>7</v>
      </c>
      <c r="N15" s="141">
        <f>+L15-M15</f>
        <v>5.9999999999999609E-2</v>
      </c>
      <c r="O15" s="141">
        <f>+N15/100*60</f>
        <v>3.5999999999999761E-2</v>
      </c>
      <c r="P15" s="162">
        <f>IF(J15="","",O15+M15)</f>
        <v>7.0359999999999996</v>
      </c>
      <c r="Q15" s="591"/>
      <c r="R15" s="592"/>
      <c r="S15" s="592"/>
      <c r="T15" s="593"/>
      <c r="U15" s="417"/>
      <c r="V15" s="240">
        <f t="shared" si="5"/>
        <v>0</v>
      </c>
      <c r="W15" s="240">
        <f t="shared" si="18"/>
        <v>0</v>
      </c>
      <c r="X15" s="240">
        <f t="shared" si="6"/>
        <v>0</v>
      </c>
      <c r="Y15" s="242">
        <f t="shared" si="19"/>
        <v>0</v>
      </c>
      <c r="Z15" s="417"/>
      <c r="AA15" s="417"/>
      <c r="AB15" s="417"/>
      <c r="AC15" s="417"/>
      <c r="AD15" s="417"/>
      <c r="AE15" s="240">
        <f t="shared" si="7"/>
        <v>0</v>
      </c>
      <c r="AF15" s="240">
        <f t="shared" si="20"/>
        <v>0</v>
      </c>
      <c r="AG15" s="240">
        <f t="shared" si="8"/>
        <v>0</v>
      </c>
      <c r="AH15" s="242">
        <f t="shared" si="21"/>
        <v>0</v>
      </c>
      <c r="AI15" s="417"/>
      <c r="AJ15" s="417"/>
      <c r="AK15" s="417"/>
      <c r="AL15" s="417"/>
      <c r="AM15" s="472"/>
      <c r="AN15" s="240">
        <f t="shared" si="9"/>
        <v>0</v>
      </c>
      <c r="AO15" s="240">
        <f t="shared" si="10"/>
        <v>0</v>
      </c>
      <c r="AP15" s="240">
        <f t="shared" si="11"/>
        <v>0</v>
      </c>
      <c r="AQ15" s="242">
        <f t="shared" si="22"/>
        <v>0</v>
      </c>
      <c r="AR15" s="245"/>
      <c r="AS15" s="245"/>
      <c r="AT15" s="245"/>
      <c r="AU15" s="420"/>
      <c r="AZ15" s="189"/>
      <c r="BA15" s="189"/>
      <c r="BB15" s="189"/>
      <c r="BC15" s="189"/>
      <c r="BD15" s="189"/>
      <c r="BE15" s="189"/>
      <c r="BG15" s="145">
        <f>IF($K15&gt;=0,+SUM(L$9:$L15)-$B15+Okt!$AZ$41+SUM(AQ$9:$AQ15)," ")</f>
        <v>-6.6666666666677088E-3</v>
      </c>
      <c r="BH15" s="144">
        <f t="shared" si="23"/>
        <v>-1</v>
      </c>
      <c r="BI15" s="146">
        <f t="shared" si="24"/>
        <v>0</v>
      </c>
      <c r="BJ15" s="146">
        <f t="shared" si="25"/>
        <v>-6.6666666666677088E-3</v>
      </c>
      <c r="BK15" s="146">
        <f t="shared" si="26"/>
        <v>-4.0000000000006255E-3</v>
      </c>
      <c r="BL15" s="164">
        <f t="shared" si="27"/>
        <v>-4.0000000000006255E-3</v>
      </c>
      <c r="BM15" s="157">
        <f t="shared" si="28"/>
        <v>7.0359999999999996</v>
      </c>
      <c r="BN15">
        <f t="shared" si="12"/>
        <v>2</v>
      </c>
    </row>
    <row r="16" spans="1:66" ht="15.95" customHeight="1" x14ac:dyDescent="0.25">
      <c r="A16" s="83"/>
      <c r="B16" s="84">
        <f>IF($I16&lt;&gt;"",IF(WEEKDAY($I16,2)&lt;6,IF(VLOOKUP(WEEKDAY($I16,2),InputUge,3)&gt;0,IF($A16="",VLOOKUP(WEEKDAY($I16,2),InputUge,3)+MAX(B$8:B15),IF($A16&lt;VLOOKUP(WEEKDAY($I16,2),InputUge,3),$A16+MAX(B$8:B15),VLOOKUP(WEEKDAY($I16,2),InputUge,3)+MAX(B$8:B15))),""),""),"")</f>
        <v>44.073333333333338</v>
      </c>
      <c r="C16" s="144">
        <f t="shared" si="13"/>
        <v>1</v>
      </c>
      <c r="D16" s="146">
        <f t="shared" si="14"/>
        <v>44</v>
      </c>
      <c r="E16" s="146">
        <f t="shared" si="15"/>
        <v>7.3333333333337691E-2</v>
      </c>
      <c r="F16" s="146">
        <f t="shared" si="16"/>
        <v>4.4000000000002613E-2</v>
      </c>
      <c r="G16" s="261">
        <f t="shared" si="0"/>
        <v>44.044000000000004</v>
      </c>
      <c r="H16" s="4">
        <v>8</v>
      </c>
      <c r="I16" s="16">
        <f t="shared" si="17"/>
        <v>41555</v>
      </c>
      <c r="J16" s="6">
        <v>0.34791666666666665</v>
      </c>
      <c r="K16" s="6">
        <v>0.64236111111111105</v>
      </c>
      <c r="L16" s="5">
        <f>IF(K16&gt;0,ROUND(((K16-J16)*24)-SUM(BR16:BS16)+BT16,2)+IF(Fredagsfrokost="n",IF(WEEKDAY($I16,2)=5,IF(K16&gt;=0.5,IF(K16&lt;=13/24,0,0),0),0),0),IF(AW16&gt;0,AW16,""))</f>
        <v>7.07</v>
      </c>
      <c r="M16" s="141">
        <f>FLOOR(L16,1)</f>
        <v>7</v>
      </c>
      <c r="N16" s="141">
        <f>+L16-M16</f>
        <v>7.0000000000000284E-2</v>
      </c>
      <c r="O16" s="141">
        <f>+N16/100*60</f>
        <v>4.2000000000000169E-2</v>
      </c>
      <c r="P16" s="162">
        <f>IF(J16="","",O16+M16)</f>
        <v>7.0419999999999998</v>
      </c>
      <c r="Q16" s="591"/>
      <c r="R16" s="592"/>
      <c r="S16" s="592"/>
      <c r="T16" s="593"/>
      <c r="U16" s="417"/>
      <c r="V16" s="240">
        <f t="shared" si="5"/>
        <v>0</v>
      </c>
      <c r="W16" s="240">
        <f t="shared" si="18"/>
        <v>0</v>
      </c>
      <c r="X16" s="240">
        <f t="shared" si="6"/>
        <v>0</v>
      </c>
      <c r="Y16" s="242">
        <f t="shared" si="19"/>
        <v>0</v>
      </c>
      <c r="Z16" s="417"/>
      <c r="AA16" s="417"/>
      <c r="AB16" s="417"/>
      <c r="AC16" s="417"/>
      <c r="AD16" s="417"/>
      <c r="AE16" s="240">
        <f t="shared" si="7"/>
        <v>0</v>
      </c>
      <c r="AF16" s="240">
        <f t="shared" si="20"/>
        <v>0</v>
      </c>
      <c r="AG16" s="240">
        <f t="shared" si="8"/>
        <v>0</v>
      </c>
      <c r="AH16" s="242">
        <f t="shared" si="21"/>
        <v>0</v>
      </c>
      <c r="AI16" s="417"/>
      <c r="AJ16" s="417"/>
      <c r="AK16" s="417"/>
      <c r="AL16" s="417"/>
      <c r="AM16" s="472"/>
      <c r="AN16" s="240">
        <f t="shared" si="9"/>
        <v>0</v>
      </c>
      <c r="AO16" s="240">
        <f t="shared" si="10"/>
        <v>0</v>
      </c>
      <c r="AP16" s="240">
        <f t="shared" si="11"/>
        <v>0</v>
      </c>
      <c r="AQ16" s="242">
        <f t="shared" si="22"/>
        <v>0</v>
      </c>
      <c r="AR16" s="245"/>
      <c r="AS16" s="245"/>
      <c r="AT16" s="245"/>
      <c r="AU16" s="420"/>
      <c r="AZ16" s="189"/>
      <c r="BA16" s="189"/>
      <c r="BB16" s="189"/>
      <c r="BC16" s="189"/>
      <c r="BD16" s="189"/>
      <c r="BE16" s="189"/>
      <c r="BG16" s="145">
        <f>IF($K16&gt;=0,+SUM(L$9:$L16)-$B16+Okt!$AZ$41+SUM(AQ$9:$AQ16)," ")</f>
        <v>-3.3333333333374071E-3</v>
      </c>
      <c r="BH16" s="144">
        <f t="shared" si="23"/>
        <v>-1</v>
      </c>
      <c r="BI16" s="146">
        <f t="shared" si="24"/>
        <v>0</v>
      </c>
      <c r="BJ16" s="146">
        <f t="shared" si="25"/>
        <v>-3.3333333333374071E-3</v>
      </c>
      <c r="BK16" s="146">
        <f t="shared" si="26"/>
        <v>-2.0000000000024443E-3</v>
      </c>
      <c r="BL16" s="164">
        <f>IF(BN16=2,+BK16+BI16,"")</f>
        <v>-2.0000000000024443E-3</v>
      </c>
      <c r="BM16" s="157">
        <f>+P16</f>
        <v>7.0419999999999998</v>
      </c>
      <c r="BN16">
        <f t="shared" si="12"/>
        <v>2</v>
      </c>
    </row>
    <row r="17" spans="1:66" ht="15.95" customHeight="1" x14ac:dyDescent="0.25">
      <c r="A17" s="83"/>
      <c r="B17" s="84">
        <f>IF($I17&lt;&gt;"",IF(WEEKDAY($I17,2)&lt;6,IF(VLOOKUP(WEEKDAY($I17,2),InputUge,3)&gt;0,IF($A17="",VLOOKUP(WEEKDAY($I17,2),InputUge,3)+MAX(B$8:B16),IF($A17&lt;VLOOKUP(WEEKDAY($I17,2),InputUge,3),$A17+MAX(B$8:B16),VLOOKUP(WEEKDAY($I17,2),InputUge,3)+MAX(B$8:B16))),""),""),"")</f>
        <v>51.14</v>
      </c>
      <c r="C17" s="144">
        <f t="shared" si="13"/>
        <v>1</v>
      </c>
      <c r="D17" s="146">
        <f t="shared" si="14"/>
        <v>51</v>
      </c>
      <c r="E17" s="146">
        <f t="shared" si="15"/>
        <v>0.14000000000000057</v>
      </c>
      <c r="F17" s="146">
        <f t="shared" si="16"/>
        <v>8.4000000000000338E-2</v>
      </c>
      <c r="G17" s="261">
        <f t="shared" si="0"/>
        <v>51.084000000000003</v>
      </c>
      <c r="H17" s="4">
        <v>9</v>
      </c>
      <c r="I17" s="16">
        <f t="shared" si="17"/>
        <v>41556</v>
      </c>
      <c r="J17" s="6">
        <v>0.34791666666666665</v>
      </c>
      <c r="K17" s="6">
        <v>0.64236111111111105</v>
      </c>
      <c r="L17" s="5">
        <f>IF(K17&gt;0,ROUND(((K17-J17)*24)-SUM(BR17:BS17)+BT17,2)+IF(Fredagsfrokost="n",IF(WEEKDAY($I17,2)=5,IF(K17&gt;=0.5,IF(K17&lt;=13/24,0,0),0),0),0),IF(AW17&gt;0,AW17,""))</f>
        <v>7.07</v>
      </c>
      <c r="M17" s="141">
        <f>FLOOR(L17,1)</f>
        <v>7</v>
      </c>
      <c r="N17" s="141">
        <f>+L17-M17</f>
        <v>7.0000000000000284E-2</v>
      </c>
      <c r="O17" s="141">
        <f>+N17/100*60</f>
        <v>4.2000000000000169E-2</v>
      </c>
      <c r="P17" s="162">
        <f>IF(J17="","",O17+M17)</f>
        <v>7.0419999999999998</v>
      </c>
      <c r="Q17" s="591"/>
      <c r="R17" s="592"/>
      <c r="S17" s="592"/>
      <c r="T17" s="593"/>
      <c r="U17" s="417"/>
      <c r="V17" s="240">
        <f t="shared" si="5"/>
        <v>0</v>
      </c>
      <c r="W17" s="240">
        <f t="shared" si="18"/>
        <v>0</v>
      </c>
      <c r="X17" s="240">
        <f t="shared" si="6"/>
        <v>0</v>
      </c>
      <c r="Y17" s="242">
        <f t="shared" si="19"/>
        <v>0</v>
      </c>
      <c r="Z17" s="417"/>
      <c r="AA17" s="417"/>
      <c r="AB17" s="417"/>
      <c r="AC17" s="417"/>
      <c r="AD17" s="417"/>
      <c r="AE17" s="240">
        <f t="shared" si="7"/>
        <v>0</v>
      </c>
      <c r="AF17" s="240">
        <f t="shared" si="20"/>
        <v>0</v>
      </c>
      <c r="AG17" s="240">
        <f t="shared" si="8"/>
        <v>0</v>
      </c>
      <c r="AH17" s="242">
        <f t="shared" si="21"/>
        <v>0</v>
      </c>
      <c r="AI17" s="417"/>
      <c r="AJ17" s="417"/>
      <c r="AK17" s="417"/>
      <c r="AL17" s="417"/>
      <c r="AM17" s="472"/>
      <c r="AN17" s="240">
        <f t="shared" si="9"/>
        <v>0</v>
      </c>
      <c r="AO17" s="240">
        <f t="shared" si="10"/>
        <v>0</v>
      </c>
      <c r="AP17" s="240">
        <f t="shared" si="11"/>
        <v>0</v>
      </c>
      <c r="AQ17" s="242">
        <f t="shared" si="22"/>
        <v>0</v>
      </c>
      <c r="AR17" s="245"/>
      <c r="AS17" s="245"/>
      <c r="AT17" s="245"/>
      <c r="AU17" s="420"/>
      <c r="AZ17" s="189"/>
      <c r="BA17" s="189"/>
      <c r="BB17" s="189"/>
      <c r="BC17" s="189"/>
      <c r="BD17" s="189"/>
      <c r="BE17" s="189"/>
      <c r="BG17" s="145">
        <f>IF($K17&gt;=0,+SUM(L$9:$L17)-$B17+Okt!$AZ$41+SUM(AQ$9:$AQ17)," ")</f>
        <v>0</v>
      </c>
      <c r="BH17" s="144">
        <f t="shared" si="23"/>
        <v>1</v>
      </c>
      <c r="BI17" s="146">
        <f t="shared" si="24"/>
        <v>0</v>
      </c>
      <c r="BJ17" s="146">
        <f t="shared" si="25"/>
        <v>0</v>
      </c>
      <c r="BK17" s="146">
        <f t="shared" si="26"/>
        <v>0</v>
      </c>
      <c r="BL17" s="164">
        <f>IF(BN17=2,+BK17+BI17,"")</f>
        <v>0</v>
      </c>
      <c r="BM17" s="157">
        <f>+P17</f>
        <v>7.0419999999999998</v>
      </c>
      <c r="BN17">
        <f t="shared" si="12"/>
        <v>2</v>
      </c>
    </row>
    <row r="18" spans="1:66" ht="15.95" customHeight="1" x14ac:dyDescent="0.25">
      <c r="A18" s="83"/>
      <c r="B18" s="84">
        <f>IF($I18&lt;&gt;"",IF(WEEKDAY($I18,2)&lt;6,IF(VLOOKUP(WEEKDAY($I18,2),InputUge,3)&gt;0,IF($A18="",VLOOKUP(WEEKDAY($I18,2),InputUge,3)+MAX(B$8:B17),IF($A18&lt;VLOOKUP(WEEKDAY($I18,2),InputUge,3),$A18+MAX(B$8:B17),VLOOKUP(WEEKDAY($I18,2),InputUge,3)+MAX(B$8:B17))),""),""),"")</f>
        <v>60.55</v>
      </c>
      <c r="C18" s="144">
        <f t="shared" si="13"/>
        <v>1</v>
      </c>
      <c r="D18" s="146">
        <f t="shared" si="14"/>
        <v>60</v>
      </c>
      <c r="E18" s="146">
        <f t="shared" si="15"/>
        <v>0.54999999999999716</v>
      </c>
      <c r="F18" s="146">
        <f t="shared" si="16"/>
        <v>0.32999999999999829</v>
      </c>
      <c r="G18" s="261">
        <f t="shared" si="0"/>
        <v>60.33</v>
      </c>
      <c r="H18" s="4">
        <v>10</v>
      </c>
      <c r="I18" s="16">
        <f t="shared" si="17"/>
        <v>41557</v>
      </c>
      <c r="J18" s="6">
        <v>0.34791666666666665</v>
      </c>
      <c r="K18" s="6">
        <v>0.73981481481481481</v>
      </c>
      <c r="L18" s="5">
        <f>IF(K18&gt;0,ROUND(((K18-J18)*24)-SUM(BR18:BS18)+BT18,2)+IF(Fredagsfrokost="n",IF(WEEKDAY($I18,2)=5,IF(K18&gt;=0.5,IF(K18&lt;=13/24,0,0),0),0),0),IF(AW18&gt;0,AW18,""))</f>
        <v>9.41</v>
      </c>
      <c r="M18" s="141">
        <f>FLOOR(L18,1)</f>
        <v>9</v>
      </c>
      <c r="N18" s="141">
        <f>+L18-M18</f>
        <v>0.41000000000000014</v>
      </c>
      <c r="O18" s="141">
        <f>+N18/100*60</f>
        <v>0.24600000000000008</v>
      </c>
      <c r="P18" s="162">
        <f>IF(J18="","",O18+M18)</f>
        <v>9.2460000000000004</v>
      </c>
      <c r="Q18" s="591"/>
      <c r="R18" s="592"/>
      <c r="S18" s="592"/>
      <c r="T18" s="593"/>
      <c r="U18" s="417"/>
      <c r="V18" s="240">
        <f t="shared" si="5"/>
        <v>0</v>
      </c>
      <c r="W18" s="240">
        <f t="shared" si="18"/>
        <v>0</v>
      </c>
      <c r="X18" s="240">
        <f t="shared" si="6"/>
        <v>0</v>
      </c>
      <c r="Y18" s="242">
        <f t="shared" si="19"/>
        <v>0</v>
      </c>
      <c r="Z18" s="417"/>
      <c r="AA18" s="417"/>
      <c r="AB18" s="417"/>
      <c r="AC18" s="417"/>
      <c r="AD18" s="417"/>
      <c r="AE18" s="240">
        <f t="shared" si="7"/>
        <v>0</v>
      </c>
      <c r="AF18" s="240">
        <f t="shared" si="20"/>
        <v>0</v>
      </c>
      <c r="AG18" s="240">
        <f t="shared" si="8"/>
        <v>0</v>
      </c>
      <c r="AH18" s="242">
        <f t="shared" si="21"/>
        <v>0</v>
      </c>
      <c r="AI18" s="417"/>
      <c r="AJ18" s="417"/>
      <c r="AK18" s="417"/>
      <c r="AL18" s="417"/>
      <c r="AM18" s="472"/>
      <c r="AN18" s="240">
        <f t="shared" si="9"/>
        <v>0</v>
      </c>
      <c r="AO18" s="240">
        <f t="shared" si="10"/>
        <v>0</v>
      </c>
      <c r="AP18" s="240">
        <f t="shared" si="11"/>
        <v>0</v>
      </c>
      <c r="AQ18" s="242">
        <f t="shared" si="22"/>
        <v>0</v>
      </c>
      <c r="AR18" s="245"/>
      <c r="AS18" s="245"/>
      <c r="AT18" s="245"/>
      <c r="AU18" s="420"/>
      <c r="AZ18" s="189"/>
      <c r="BA18" s="189"/>
      <c r="BB18" s="189"/>
      <c r="BC18" s="189"/>
      <c r="BD18" s="189"/>
      <c r="BE18" s="189"/>
      <c r="BG18" s="145">
        <f>IF($K18&gt;=0,+SUM(L$9:$L18)-$B18+Okt!$AZ$41+SUM(AQ$9:$AQ18)," ")</f>
        <v>0</v>
      </c>
      <c r="BH18" s="144">
        <f t="shared" si="23"/>
        <v>1</v>
      </c>
      <c r="BI18" s="146">
        <f t="shared" si="24"/>
        <v>0</v>
      </c>
      <c r="BJ18" s="146">
        <f t="shared" si="25"/>
        <v>0</v>
      </c>
      <c r="BK18" s="146">
        <f t="shared" si="26"/>
        <v>0</v>
      </c>
      <c r="BL18" s="164">
        <f>IF(BN18=2,+BK18+BI18,"")</f>
        <v>0</v>
      </c>
      <c r="BM18" s="157">
        <f t="shared" si="28"/>
        <v>9.2460000000000004</v>
      </c>
      <c r="BN18">
        <f t="shared" si="12"/>
        <v>2</v>
      </c>
    </row>
    <row r="19" spans="1:66" ht="15.95" customHeight="1" x14ac:dyDescent="0.25">
      <c r="A19" s="83"/>
      <c r="B19" s="84">
        <f>IF($I19&lt;&gt;"",IF(WEEKDAY($I19,2)&lt;6,IF(VLOOKUP(WEEKDAY($I19,2),InputUge,3)&gt;0,IF($A19="",VLOOKUP(WEEKDAY($I19,2),InputUge,3)+MAX(B$8:B18),IF($A19&lt;VLOOKUP(WEEKDAY($I19,2),InputUge,3),$A19+MAX(B$8:B18),VLOOKUP(WEEKDAY($I19,2),InputUge,3)+MAX(B$8:B18))),""),""),"")</f>
        <v>66.95</v>
      </c>
      <c r="C19" s="144">
        <f t="shared" si="13"/>
        <v>1</v>
      </c>
      <c r="D19" s="146">
        <f t="shared" si="14"/>
        <v>66</v>
      </c>
      <c r="E19" s="146">
        <f t="shared" si="15"/>
        <v>0.95000000000000284</v>
      </c>
      <c r="F19" s="146">
        <f t="shared" si="16"/>
        <v>0.57000000000000173</v>
      </c>
      <c r="G19" s="261">
        <f t="shared" si="0"/>
        <v>66.570000000000007</v>
      </c>
      <c r="H19" s="4">
        <v>11</v>
      </c>
      <c r="I19" s="16">
        <f t="shared" si="17"/>
        <v>41558</v>
      </c>
      <c r="J19" s="6">
        <v>0.34791666666666665</v>
      </c>
      <c r="K19" s="6">
        <v>0.61458333333333337</v>
      </c>
      <c r="L19" s="5">
        <f>IF(K19&gt;0,ROUND(((K19-J19)*24)-SUM(BR19:BS19)+BT19,2)+IF(Fredagsfrokost="n",IF(WEEKDAY($I19,2)=5,IF(K19&gt;=0.5,IF(K19&lt;=13/24,0,0),0),0),0),IF(AW19&gt;0,AW19,""))</f>
        <v>6.4</v>
      </c>
      <c r="M19" s="141">
        <f>FLOOR(L19,1)</f>
        <v>6</v>
      </c>
      <c r="N19" s="141">
        <f>+L19-M19</f>
        <v>0.40000000000000036</v>
      </c>
      <c r="O19" s="141">
        <f>+N19/100*60</f>
        <v>0.24000000000000021</v>
      </c>
      <c r="P19" s="162">
        <f>IF(J19="","",O19+M19)</f>
        <v>6.24</v>
      </c>
      <c r="Q19" s="591"/>
      <c r="R19" s="592"/>
      <c r="S19" s="592"/>
      <c r="T19" s="593"/>
      <c r="U19" s="417"/>
      <c r="V19" s="240">
        <f t="shared" si="5"/>
        <v>0</v>
      </c>
      <c r="W19" s="240">
        <f t="shared" si="18"/>
        <v>0</v>
      </c>
      <c r="X19" s="240">
        <f t="shared" si="6"/>
        <v>0</v>
      </c>
      <c r="Y19" s="242">
        <f t="shared" si="19"/>
        <v>0</v>
      </c>
      <c r="Z19" s="417"/>
      <c r="AA19" s="417"/>
      <c r="AB19" s="417"/>
      <c r="AC19" s="417"/>
      <c r="AD19" s="417"/>
      <c r="AE19" s="240">
        <f t="shared" si="7"/>
        <v>0</v>
      </c>
      <c r="AF19" s="240">
        <f t="shared" si="20"/>
        <v>0</v>
      </c>
      <c r="AG19" s="240">
        <f t="shared" si="8"/>
        <v>0</v>
      </c>
      <c r="AH19" s="242">
        <f t="shared" si="21"/>
        <v>0</v>
      </c>
      <c r="AI19" s="417"/>
      <c r="AJ19" s="417"/>
      <c r="AK19" s="417"/>
      <c r="AL19" s="417"/>
      <c r="AM19" s="472"/>
      <c r="AN19" s="240">
        <f t="shared" si="9"/>
        <v>0</v>
      </c>
      <c r="AO19" s="240">
        <f t="shared" si="10"/>
        <v>0</v>
      </c>
      <c r="AP19" s="240">
        <f t="shared" si="11"/>
        <v>0</v>
      </c>
      <c r="AQ19" s="242">
        <f t="shared" si="22"/>
        <v>0</v>
      </c>
      <c r="AR19" s="245"/>
      <c r="AS19" s="245"/>
      <c r="AT19" s="245"/>
      <c r="AU19" s="420"/>
      <c r="AZ19" s="189"/>
      <c r="BA19" s="189"/>
      <c r="BB19" s="189"/>
      <c r="BC19" s="189"/>
      <c r="BD19" s="189"/>
      <c r="BE19" s="189"/>
      <c r="BG19" s="145">
        <f>IF($K19&gt;=0,+SUM(L$9:$L19)-$B19+Okt!$AZ$41+SUM(AQ$9:$AQ19)," ")</f>
        <v>0</v>
      </c>
      <c r="BH19" s="144">
        <f t="shared" si="23"/>
        <v>1</v>
      </c>
      <c r="BI19" s="146">
        <f t="shared" si="24"/>
        <v>0</v>
      </c>
      <c r="BJ19" s="146">
        <f t="shared" si="25"/>
        <v>0</v>
      </c>
      <c r="BK19" s="146">
        <f t="shared" si="26"/>
        <v>0</v>
      </c>
      <c r="BL19" s="164">
        <f t="shared" si="27"/>
        <v>0</v>
      </c>
      <c r="BM19" s="157">
        <f t="shared" si="28"/>
        <v>6.24</v>
      </c>
      <c r="BN19">
        <f t="shared" si="12"/>
        <v>2</v>
      </c>
    </row>
    <row r="20" spans="1:66" ht="15.95" customHeight="1" x14ac:dyDescent="0.25">
      <c r="A20" s="83"/>
      <c r="B20" s="84" t="str">
        <f>IF($I20&lt;&gt;"",IF(WEEKDAY($I20,2)&lt;6,IF(VLOOKUP(WEEKDAY($I20,2),InputUge,3)&gt;0,IF($A20="",VLOOKUP(WEEKDAY($I20,2),InputUge,3)+MAX(B$8:B19),IF($A20&lt;VLOOKUP(WEEKDAY($I20,2),InputUge,3),$A20+MAX(B$8:B19),VLOOKUP(WEEKDAY($I20,2),InputUge,3)+MAX(B$8:B19))),""),""),"")</f>
        <v/>
      </c>
      <c r="C20" s="144">
        <f t="shared" si="13"/>
        <v>1</v>
      </c>
      <c r="D20" s="146" t="e">
        <f t="shared" si="14"/>
        <v>#VALUE!</v>
      </c>
      <c r="E20" s="146" t="e">
        <f t="shared" si="15"/>
        <v>#VALUE!</v>
      </c>
      <c r="F20" s="146" t="e">
        <f t="shared" si="16"/>
        <v>#VALUE!</v>
      </c>
      <c r="G20" s="261"/>
      <c r="H20" s="4">
        <v>12</v>
      </c>
      <c r="I20" s="16">
        <f t="shared" si="17"/>
        <v>41559</v>
      </c>
      <c r="J20" s="6"/>
      <c r="K20" s="6"/>
      <c r="L20" s="5"/>
      <c r="M20" s="141"/>
      <c r="N20" s="141"/>
      <c r="O20" s="141"/>
      <c r="P20" s="162"/>
      <c r="Q20" s="591"/>
      <c r="R20" s="592"/>
      <c r="S20" s="592"/>
      <c r="T20" s="593"/>
      <c r="U20" s="417"/>
      <c r="V20" s="240">
        <f t="shared" si="5"/>
        <v>0</v>
      </c>
      <c r="W20" s="240">
        <f t="shared" si="18"/>
        <v>0</v>
      </c>
      <c r="X20" s="240">
        <f t="shared" si="6"/>
        <v>0</v>
      </c>
      <c r="Y20" s="242">
        <f t="shared" si="19"/>
        <v>0</v>
      </c>
      <c r="Z20" s="417"/>
      <c r="AA20" s="417"/>
      <c r="AB20" s="417"/>
      <c r="AC20" s="417"/>
      <c r="AD20" s="417"/>
      <c r="AE20" s="240">
        <f t="shared" si="7"/>
        <v>0</v>
      </c>
      <c r="AF20" s="240">
        <f t="shared" si="20"/>
        <v>0</v>
      </c>
      <c r="AG20" s="240">
        <f t="shared" si="8"/>
        <v>0</v>
      </c>
      <c r="AH20" s="242">
        <f t="shared" si="21"/>
        <v>0</v>
      </c>
      <c r="AI20" s="417"/>
      <c r="AJ20" s="417"/>
      <c r="AK20" s="417"/>
      <c r="AL20" s="417"/>
      <c r="AM20" s="472"/>
      <c r="AN20" s="240">
        <f t="shared" si="9"/>
        <v>0</v>
      </c>
      <c r="AO20" s="240">
        <f t="shared" si="10"/>
        <v>0</v>
      </c>
      <c r="AP20" s="240">
        <f t="shared" si="11"/>
        <v>0</v>
      </c>
      <c r="AQ20" s="242">
        <f t="shared" si="22"/>
        <v>0</v>
      </c>
      <c r="AR20" s="245"/>
      <c r="AS20" s="245"/>
      <c r="AT20" s="245"/>
      <c r="AU20" s="420"/>
      <c r="AZ20" s="189"/>
      <c r="BA20" s="189"/>
      <c r="BB20" s="189"/>
      <c r="BC20" s="189"/>
      <c r="BD20" s="189"/>
      <c r="BE20" s="189"/>
      <c r="BG20" s="145" t="e">
        <f>IF($K20&gt;=0,+SUM(L$9:$L20)-$B20+Okt!$AZ$41+SUM(AQ$9:$AQ20)," ")</f>
        <v>#VALUE!</v>
      </c>
      <c r="BH20" s="144" t="e">
        <f t="shared" si="23"/>
        <v>#VALUE!</v>
      </c>
      <c r="BI20" s="146" t="e">
        <f t="shared" si="24"/>
        <v>#VALUE!</v>
      </c>
      <c r="BJ20" s="146" t="e">
        <f t="shared" si="25"/>
        <v>#VALUE!</v>
      </c>
      <c r="BK20" s="146" t="e">
        <f t="shared" si="26"/>
        <v>#VALUE!</v>
      </c>
      <c r="BL20" s="164"/>
      <c r="BM20" s="157">
        <f t="shared" si="28"/>
        <v>0</v>
      </c>
      <c r="BN20">
        <f t="shared" si="12"/>
        <v>2</v>
      </c>
    </row>
    <row r="21" spans="1:66" ht="15.95" customHeight="1" x14ac:dyDescent="0.25">
      <c r="A21" s="83"/>
      <c r="B21" s="84" t="str">
        <f>IF($I21&lt;&gt;"",IF(WEEKDAY($I21,2)&lt;6,IF(VLOOKUP(WEEKDAY($I21,2),InputUge,3)&gt;0,IF($A21="",VLOOKUP(WEEKDAY($I21,2),InputUge,3)+MAX(B$8:B20),IF($A21&lt;VLOOKUP(WEEKDAY($I21,2),InputUge,3),$A21+MAX(B$8:B20),VLOOKUP(WEEKDAY($I21,2),InputUge,3)+MAX(B$8:B20))),""),""),"")</f>
        <v/>
      </c>
      <c r="C21" s="144">
        <f t="shared" si="13"/>
        <v>1</v>
      </c>
      <c r="D21" s="146" t="e">
        <f t="shared" si="14"/>
        <v>#VALUE!</v>
      </c>
      <c r="E21" s="146" t="e">
        <f t="shared" si="15"/>
        <v>#VALUE!</v>
      </c>
      <c r="F21" s="146" t="e">
        <f t="shared" si="16"/>
        <v>#VALUE!</v>
      </c>
      <c r="G21" s="261"/>
      <c r="H21" s="4">
        <v>13</v>
      </c>
      <c r="I21" s="16">
        <f t="shared" si="17"/>
        <v>41560</v>
      </c>
      <c r="J21" s="6"/>
      <c r="K21" s="6"/>
      <c r="L21" s="5"/>
      <c r="M21" s="141">
        <f t="shared" si="1"/>
        <v>0</v>
      </c>
      <c r="N21" s="141">
        <f t="shared" si="2"/>
        <v>0</v>
      </c>
      <c r="O21" s="141">
        <f t="shared" si="3"/>
        <v>0</v>
      </c>
      <c r="P21" s="141" t="str">
        <f t="shared" si="4"/>
        <v/>
      </c>
      <c r="Q21" s="591"/>
      <c r="R21" s="592"/>
      <c r="S21" s="592"/>
      <c r="T21" s="593"/>
      <c r="U21" s="417"/>
      <c r="V21" s="240">
        <f t="shared" si="5"/>
        <v>0</v>
      </c>
      <c r="W21" s="240">
        <f t="shared" si="18"/>
        <v>0</v>
      </c>
      <c r="X21" s="240">
        <f t="shared" si="6"/>
        <v>0</v>
      </c>
      <c r="Y21" s="242">
        <f t="shared" si="19"/>
        <v>0</v>
      </c>
      <c r="Z21" s="417"/>
      <c r="AA21" s="417"/>
      <c r="AB21" s="417"/>
      <c r="AC21" s="417"/>
      <c r="AD21" s="417"/>
      <c r="AE21" s="240">
        <f t="shared" si="7"/>
        <v>0</v>
      </c>
      <c r="AF21" s="240">
        <f t="shared" si="20"/>
        <v>0</v>
      </c>
      <c r="AG21" s="240">
        <f t="shared" si="8"/>
        <v>0</v>
      </c>
      <c r="AH21" s="242">
        <f t="shared" si="21"/>
        <v>0</v>
      </c>
      <c r="AI21" s="417"/>
      <c r="AJ21" s="417"/>
      <c r="AK21" s="417"/>
      <c r="AL21" s="417"/>
      <c r="AM21" s="472"/>
      <c r="AN21" s="240">
        <f t="shared" si="9"/>
        <v>0</v>
      </c>
      <c r="AO21" s="240">
        <f t="shared" si="10"/>
        <v>0</v>
      </c>
      <c r="AP21" s="240">
        <f t="shared" si="11"/>
        <v>0</v>
      </c>
      <c r="AQ21" s="242">
        <f t="shared" si="22"/>
        <v>0</v>
      </c>
      <c r="AR21" s="245"/>
      <c r="AS21" s="245"/>
      <c r="AT21" s="245"/>
      <c r="AU21" s="420"/>
      <c r="AZ21" s="189"/>
      <c r="BA21" s="189"/>
      <c r="BB21" s="189"/>
      <c r="BC21" s="189"/>
      <c r="BD21" s="189"/>
      <c r="BE21" s="189"/>
      <c r="BG21" s="145" t="e">
        <f>IF($K21&gt;=0,+SUM(L$9:$L21)-$B21+Okt!$AZ$41+SUM(AQ$9:$AQ21)," ")</f>
        <v>#VALUE!</v>
      </c>
      <c r="BH21" s="144" t="e">
        <f t="shared" si="23"/>
        <v>#VALUE!</v>
      </c>
      <c r="BI21" s="146" t="e">
        <f t="shared" si="24"/>
        <v>#VALUE!</v>
      </c>
      <c r="BJ21" s="146" t="e">
        <f t="shared" si="25"/>
        <v>#VALUE!</v>
      </c>
      <c r="BK21" s="146" t="e">
        <f t="shared" si="26"/>
        <v>#VALUE!</v>
      </c>
      <c r="BL21" s="164" t="str">
        <f t="shared" si="27"/>
        <v/>
      </c>
      <c r="BM21" s="157" t="str">
        <f t="shared" si="28"/>
        <v/>
      </c>
      <c r="BN21">
        <f t="shared" si="12"/>
        <v>1</v>
      </c>
    </row>
    <row r="22" spans="1:66" ht="15.95" customHeight="1" x14ac:dyDescent="0.25">
      <c r="A22" s="83"/>
      <c r="B22" s="84">
        <f>IF($I22&lt;&gt;"",IF(WEEKDAY($I22,2)&lt;6,IF(VLOOKUP(WEEKDAY($I22,2),InputUge,3)&gt;0,IF($A22="",VLOOKUP(WEEKDAY($I22,2),InputUge,3)+MAX(B$8:B21),IF($A22&lt;VLOOKUP(WEEKDAY($I22,2),InputUge,3),$A22+MAX(B$8:B21),VLOOKUP(WEEKDAY($I22,2),InputUge,3)+MAX(B$8:B21))),""),""),"")</f>
        <v>74.013333333333335</v>
      </c>
      <c r="C22" s="144">
        <f t="shared" si="13"/>
        <v>1</v>
      </c>
      <c r="D22" s="146">
        <f t="shared" si="14"/>
        <v>74</v>
      </c>
      <c r="E22" s="146">
        <f t="shared" si="15"/>
        <v>1.3333333333335418E-2</v>
      </c>
      <c r="F22" s="146">
        <f t="shared" si="16"/>
        <v>8.0000000000012509E-3</v>
      </c>
      <c r="G22" s="261">
        <f t="shared" si="0"/>
        <v>74.007999999999996</v>
      </c>
      <c r="H22" s="4">
        <v>14</v>
      </c>
      <c r="I22" s="16">
        <f t="shared" si="17"/>
        <v>41561</v>
      </c>
      <c r="J22" s="6">
        <v>0.34826388888888887</v>
      </c>
      <c r="K22" s="6">
        <v>0.64236111111111105</v>
      </c>
      <c r="L22" s="5">
        <f>IF(K22&gt;0,ROUND(((K22-J22)*24)-SUM(BR22:BS22)+BT22,2)+IF(Fredagsfrokost="n",IF(WEEKDAY($I22,2)=5,IF(K22&gt;=0.5,IF(K22&lt;=13/24,0,0),0),0),0),IF(AW22&gt;0,AW22,""))</f>
        <v>7.06</v>
      </c>
      <c r="M22" s="141">
        <f t="shared" si="1"/>
        <v>7</v>
      </c>
      <c r="N22" s="141">
        <f t="shared" si="2"/>
        <v>5.9999999999999609E-2</v>
      </c>
      <c r="O22" s="141">
        <f t="shared" si="3"/>
        <v>3.5999999999999761E-2</v>
      </c>
      <c r="P22" s="162">
        <f t="shared" si="4"/>
        <v>7.0359999999999996</v>
      </c>
      <c r="Q22" s="591"/>
      <c r="R22" s="592"/>
      <c r="S22" s="592"/>
      <c r="T22" s="593"/>
      <c r="U22" s="417"/>
      <c r="V22" s="240">
        <f t="shared" si="5"/>
        <v>0</v>
      </c>
      <c r="W22" s="240">
        <f t="shared" si="18"/>
        <v>0</v>
      </c>
      <c r="X22" s="240">
        <f t="shared" si="6"/>
        <v>0</v>
      </c>
      <c r="Y22" s="242">
        <f t="shared" si="19"/>
        <v>0</v>
      </c>
      <c r="Z22" s="417"/>
      <c r="AA22" s="417"/>
      <c r="AB22" s="417"/>
      <c r="AC22" s="417"/>
      <c r="AD22" s="417"/>
      <c r="AE22" s="240">
        <f t="shared" si="7"/>
        <v>0</v>
      </c>
      <c r="AF22" s="240">
        <f t="shared" si="20"/>
        <v>0</v>
      </c>
      <c r="AG22" s="240">
        <f t="shared" si="8"/>
        <v>0</v>
      </c>
      <c r="AH22" s="242">
        <f t="shared" si="21"/>
        <v>0</v>
      </c>
      <c r="AI22" s="417"/>
      <c r="AJ22" s="417"/>
      <c r="AK22" s="417"/>
      <c r="AL22" s="417"/>
      <c r="AM22" s="472"/>
      <c r="AN22" s="240">
        <f t="shared" si="9"/>
        <v>0</v>
      </c>
      <c r="AO22" s="240">
        <f t="shared" si="10"/>
        <v>0</v>
      </c>
      <c r="AP22" s="240">
        <f t="shared" si="11"/>
        <v>0</v>
      </c>
      <c r="AQ22" s="242">
        <f t="shared" si="22"/>
        <v>0</v>
      </c>
      <c r="AR22" s="245"/>
      <c r="AS22" s="245"/>
      <c r="AT22" s="245"/>
      <c r="AU22" s="420"/>
      <c r="AZ22" s="189"/>
      <c r="BA22" s="189"/>
      <c r="BB22" s="189"/>
      <c r="BC22" s="189"/>
      <c r="BD22" s="189"/>
      <c r="BE22" s="189"/>
      <c r="BG22" s="145">
        <f>IF($K22&gt;=0,+SUM(L$9:$L22)-$B22+Okt!$AZ$41+SUM(AQ$9:$AQ22)," ")</f>
        <v>-3.3333333333303017E-3</v>
      </c>
      <c r="BH22" s="144">
        <f t="shared" si="23"/>
        <v>-1</v>
      </c>
      <c r="BI22" s="146">
        <f t="shared" si="24"/>
        <v>0</v>
      </c>
      <c r="BJ22" s="146">
        <f t="shared" si="25"/>
        <v>-3.3333333333303017E-3</v>
      </c>
      <c r="BK22" s="146">
        <f t="shared" si="26"/>
        <v>-1.9999999999981812E-3</v>
      </c>
      <c r="BL22" s="164">
        <f t="shared" si="27"/>
        <v>-1.9999999999981812E-3</v>
      </c>
      <c r="BM22" s="157">
        <f t="shared" si="28"/>
        <v>7.0359999999999996</v>
      </c>
      <c r="BN22">
        <f t="shared" si="12"/>
        <v>2</v>
      </c>
    </row>
    <row r="23" spans="1:66" ht="15.95" customHeight="1" x14ac:dyDescent="0.25">
      <c r="A23" s="83"/>
      <c r="B23" s="84">
        <f>IF($I23&lt;&gt;"",IF(WEEKDAY($I23,2)&lt;6,IF(VLOOKUP(WEEKDAY($I23,2),InputUge,3)&gt;0,IF($A23="",VLOOKUP(WEEKDAY($I23,2),InputUge,3)+MAX(B$8:B22),IF($A23&lt;VLOOKUP(WEEKDAY($I23,2),InputUge,3),$A23+MAX(B$8:B22),VLOOKUP(WEEKDAY($I23,2),InputUge,3)+MAX(B$8:B22))),""),""),"")</f>
        <v>81.08</v>
      </c>
      <c r="C23" s="144">
        <f t="shared" si="13"/>
        <v>1</v>
      </c>
      <c r="D23" s="146">
        <f t="shared" si="14"/>
        <v>81</v>
      </c>
      <c r="E23" s="146">
        <f t="shared" si="15"/>
        <v>7.9999999999998295E-2</v>
      </c>
      <c r="F23" s="146">
        <f t="shared" si="16"/>
        <v>4.7999999999998974E-2</v>
      </c>
      <c r="G23" s="261">
        <f t="shared" si="0"/>
        <v>81.048000000000002</v>
      </c>
      <c r="H23" s="4">
        <v>15</v>
      </c>
      <c r="I23" s="16">
        <f t="shared" si="17"/>
        <v>41562</v>
      </c>
      <c r="J23" s="6">
        <v>0.34791666666666665</v>
      </c>
      <c r="K23" s="6">
        <v>0.64236111111111105</v>
      </c>
      <c r="L23" s="5">
        <f>IF(K23&gt;0,ROUND(((K23-J23)*24)-SUM(BR23:BS23)+BT23,2)+IF(Fredagsfrokost="n",IF(WEEKDAY($I23,2)=5,IF(K23&gt;=0.5,IF(K23&lt;=13/24,0,0),0),0),0),IF(AW23&gt;0,AW23,""))</f>
        <v>7.07</v>
      </c>
      <c r="M23" s="141">
        <f t="shared" si="1"/>
        <v>7</v>
      </c>
      <c r="N23" s="141">
        <f t="shared" si="2"/>
        <v>7.0000000000000284E-2</v>
      </c>
      <c r="O23" s="141">
        <f t="shared" si="3"/>
        <v>4.2000000000000169E-2</v>
      </c>
      <c r="P23" s="162">
        <f t="shared" si="4"/>
        <v>7.0419999999999998</v>
      </c>
      <c r="Q23" s="591"/>
      <c r="R23" s="592"/>
      <c r="S23" s="592"/>
      <c r="T23" s="593"/>
      <c r="U23" s="417"/>
      <c r="V23" s="240">
        <f t="shared" si="5"/>
        <v>0</v>
      </c>
      <c r="W23" s="240">
        <f t="shared" si="18"/>
        <v>0</v>
      </c>
      <c r="X23" s="240">
        <f t="shared" si="6"/>
        <v>0</v>
      </c>
      <c r="Y23" s="242">
        <f t="shared" si="19"/>
        <v>0</v>
      </c>
      <c r="Z23" s="417"/>
      <c r="AA23" s="417"/>
      <c r="AB23" s="417"/>
      <c r="AC23" s="417"/>
      <c r="AD23" s="417"/>
      <c r="AE23" s="240">
        <f t="shared" si="7"/>
        <v>0</v>
      </c>
      <c r="AF23" s="240">
        <f t="shared" si="20"/>
        <v>0</v>
      </c>
      <c r="AG23" s="240">
        <f t="shared" si="8"/>
        <v>0</v>
      </c>
      <c r="AH23" s="242">
        <f t="shared" si="21"/>
        <v>0</v>
      </c>
      <c r="AI23" s="417"/>
      <c r="AJ23" s="417"/>
      <c r="AK23" s="417"/>
      <c r="AL23" s="417"/>
      <c r="AM23" s="472"/>
      <c r="AN23" s="240">
        <f t="shared" si="9"/>
        <v>0</v>
      </c>
      <c r="AO23" s="240">
        <f t="shared" si="10"/>
        <v>0</v>
      </c>
      <c r="AP23" s="240">
        <f t="shared" si="11"/>
        <v>0</v>
      </c>
      <c r="AQ23" s="242">
        <f t="shared" si="22"/>
        <v>0</v>
      </c>
      <c r="AR23" s="245"/>
      <c r="AS23" s="245"/>
      <c r="AT23" s="245"/>
      <c r="AU23" s="420"/>
      <c r="AZ23" s="189"/>
      <c r="BA23" s="189"/>
      <c r="BB23" s="189"/>
      <c r="BC23" s="189"/>
      <c r="BD23" s="189"/>
      <c r="BE23" s="189"/>
      <c r="BG23" s="145">
        <f>IF($K23&gt;=0,+SUM(L$9:$L23)-$B23+Okt!$AZ$41+SUM(AQ$9:$AQ23)," ")</f>
        <v>1.4210854715202004E-14</v>
      </c>
      <c r="BH23" s="144">
        <f t="shared" si="23"/>
        <v>1</v>
      </c>
      <c r="BI23" s="146">
        <f t="shared" si="24"/>
        <v>0</v>
      </c>
      <c r="BJ23" s="146">
        <f t="shared" si="25"/>
        <v>1.4210854715202004E-14</v>
      </c>
      <c r="BK23" s="146">
        <f t="shared" si="26"/>
        <v>8.5265128291212019E-15</v>
      </c>
      <c r="BL23" s="164">
        <f t="shared" si="27"/>
        <v>8.5265128291212019E-15</v>
      </c>
      <c r="BM23" s="157">
        <f t="shared" si="28"/>
        <v>7.0419999999999998</v>
      </c>
      <c r="BN23">
        <f t="shared" si="12"/>
        <v>2</v>
      </c>
    </row>
    <row r="24" spans="1:66" ht="15.95" customHeight="1" x14ac:dyDescent="0.25">
      <c r="A24" s="83"/>
      <c r="B24" s="84">
        <f>IF($I24&lt;&gt;"",IF(WEEKDAY($I24,2)&lt;6,IF(VLOOKUP(WEEKDAY($I24,2),InputUge,3)&gt;0,IF($A24="",VLOOKUP(WEEKDAY($I24,2),InputUge,3)+MAX(B$8:B23),IF($A24&lt;VLOOKUP(WEEKDAY($I24,2),InputUge,3),$A24+MAX(B$8:B23),VLOOKUP(WEEKDAY($I24,2),InputUge,3)+MAX(B$8:B23))),""),""),"")</f>
        <v>88.146666666666661</v>
      </c>
      <c r="C24" s="144">
        <f t="shared" si="13"/>
        <v>1</v>
      </c>
      <c r="D24" s="146">
        <f t="shared" si="14"/>
        <v>88</v>
      </c>
      <c r="E24" s="146">
        <f t="shared" si="15"/>
        <v>0.14666666666666117</v>
      </c>
      <c r="F24" s="146">
        <f t="shared" si="16"/>
        <v>8.7999999999996706E-2</v>
      </c>
      <c r="G24" s="261">
        <f t="shared" si="0"/>
        <v>88.087999999999994</v>
      </c>
      <c r="H24" s="4">
        <v>16</v>
      </c>
      <c r="I24" s="16">
        <f t="shared" si="17"/>
        <v>41563</v>
      </c>
      <c r="J24" s="6">
        <v>0.34791666666666665</v>
      </c>
      <c r="K24" s="6">
        <v>0.64236111111111105</v>
      </c>
      <c r="L24" s="5">
        <f>IF(K24&gt;0,ROUND(((K24-J24)*24)-SUM(BR24:BS24)+BT24,2)+IF(Fredagsfrokost="n",IF(WEEKDAY($I24,2)=5,IF(K24&gt;=0.5,IF(K24&lt;=13/24,0,0),0),0),0),IF(AW24&gt;0,AW24,""))</f>
        <v>7.07</v>
      </c>
      <c r="M24" s="141">
        <f t="shared" si="1"/>
        <v>7</v>
      </c>
      <c r="N24" s="141">
        <f t="shared" si="2"/>
        <v>7.0000000000000284E-2</v>
      </c>
      <c r="O24" s="141">
        <f t="shared" si="3"/>
        <v>4.2000000000000169E-2</v>
      </c>
      <c r="P24" s="162">
        <f t="shared" si="4"/>
        <v>7.0419999999999998</v>
      </c>
      <c r="Q24" s="591"/>
      <c r="R24" s="592"/>
      <c r="S24" s="592"/>
      <c r="T24" s="593"/>
      <c r="U24" s="417"/>
      <c r="V24" s="240">
        <f t="shared" si="5"/>
        <v>0</v>
      </c>
      <c r="W24" s="240">
        <f t="shared" si="18"/>
        <v>0</v>
      </c>
      <c r="X24" s="240">
        <f t="shared" si="6"/>
        <v>0</v>
      </c>
      <c r="Y24" s="242">
        <f t="shared" si="19"/>
        <v>0</v>
      </c>
      <c r="Z24" s="417"/>
      <c r="AA24" s="417"/>
      <c r="AB24" s="417"/>
      <c r="AC24" s="417"/>
      <c r="AD24" s="417"/>
      <c r="AE24" s="240">
        <f t="shared" si="7"/>
        <v>0</v>
      </c>
      <c r="AF24" s="240">
        <f t="shared" si="20"/>
        <v>0</v>
      </c>
      <c r="AG24" s="240">
        <f t="shared" si="8"/>
        <v>0</v>
      </c>
      <c r="AH24" s="242">
        <f t="shared" si="21"/>
        <v>0</v>
      </c>
      <c r="AI24" s="417"/>
      <c r="AJ24" s="417"/>
      <c r="AK24" s="417"/>
      <c r="AL24" s="417"/>
      <c r="AM24" s="472"/>
      <c r="AN24" s="240">
        <f t="shared" si="9"/>
        <v>0</v>
      </c>
      <c r="AO24" s="240">
        <f t="shared" si="10"/>
        <v>0</v>
      </c>
      <c r="AP24" s="240">
        <f t="shared" si="11"/>
        <v>0</v>
      </c>
      <c r="AQ24" s="242">
        <f t="shared" si="22"/>
        <v>0</v>
      </c>
      <c r="AR24" s="245"/>
      <c r="AS24" s="245"/>
      <c r="AT24" s="245"/>
      <c r="AU24" s="420"/>
      <c r="AZ24" s="189"/>
      <c r="BA24" s="189"/>
      <c r="BB24" s="189"/>
      <c r="BC24" s="189"/>
      <c r="BD24" s="189"/>
      <c r="BE24" s="189"/>
      <c r="BG24" s="145">
        <f>IF($K24&gt;=0,+SUM(L$9:$L24)-$B24+Okt!$AZ$41+SUM(AQ$9:$AQ24)," ")</f>
        <v>3.3333333333445125E-3</v>
      </c>
      <c r="BH24" s="144">
        <f t="shared" si="23"/>
        <v>1</v>
      </c>
      <c r="BI24" s="146">
        <f t="shared" si="24"/>
        <v>0</v>
      </c>
      <c r="BJ24" s="146">
        <f t="shared" si="25"/>
        <v>3.3333333333445125E-3</v>
      </c>
      <c r="BK24" s="146">
        <f t="shared" si="26"/>
        <v>2.0000000000067073E-3</v>
      </c>
      <c r="BL24" s="164">
        <f t="shared" si="27"/>
        <v>2.0000000000067073E-3</v>
      </c>
      <c r="BM24" s="157">
        <f t="shared" si="28"/>
        <v>7.0419999999999998</v>
      </c>
      <c r="BN24">
        <f t="shared" si="12"/>
        <v>2</v>
      </c>
    </row>
    <row r="25" spans="1:66" ht="15.95" customHeight="1" x14ac:dyDescent="0.25">
      <c r="A25" s="83"/>
      <c r="B25" s="84">
        <f>IF($I25&lt;&gt;"",IF(WEEKDAY($I25,2)&lt;6,IF(VLOOKUP(WEEKDAY($I25,2),InputUge,3)&gt;0,IF($A25="",VLOOKUP(WEEKDAY($I25,2),InputUge,3)+MAX(B$8:B24),IF($A25&lt;VLOOKUP(WEEKDAY($I25,2),InputUge,3),$A25+MAX(B$8:B24),VLOOKUP(WEEKDAY($I25,2),InputUge,3)+MAX(B$8:B24))),""),""),"")</f>
        <v>97.556666666666658</v>
      </c>
      <c r="C25" s="144">
        <f t="shared" si="13"/>
        <v>1</v>
      </c>
      <c r="D25" s="146">
        <f t="shared" si="14"/>
        <v>97</v>
      </c>
      <c r="E25" s="146">
        <f t="shared" si="15"/>
        <v>0.55666666666665776</v>
      </c>
      <c r="F25" s="146">
        <f t="shared" si="16"/>
        <v>0.33399999999999463</v>
      </c>
      <c r="G25" s="261">
        <f t="shared" si="0"/>
        <v>97.333999999999989</v>
      </c>
      <c r="H25" s="4">
        <v>17</v>
      </c>
      <c r="I25" s="16">
        <f t="shared" si="17"/>
        <v>41564</v>
      </c>
      <c r="J25" s="6">
        <v>0.34791666666666665</v>
      </c>
      <c r="K25" s="6">
        <v>0.73981481481481481</v>
      </c>
      <c r="L25" s="5">
        <f>IF(K25&gt;0,ROUND(((K25-J25)*24)-SUM(BR25:BS25)+BT25,2)+IF(Fredagsfrokost="n",IF(WEEKDAY($I25,2)=5,IF(K25&gt;=0.5,IF(K25&lt;=13/24,0,0),0),0),0),IF(AW25&gt;0,AW25,""))</f>
        <v>9.41</v>
      </c>
      <c r="M25" s="141">
        <f t="shared" si="1"/>
        <v>9</v>
      </c>
      <c r="N25" s="141">
        <f t="shared" si="2"/>
        <v>0.41000000000000014</v>
      </c>
      <c r="O25" s="141">
        <f t="shared" si="3"/>
        <v>0.24600000000000008</v>
      </c>
      <c r="P25" s="162">
        <f t="shared" si="4"/>
        <v>9.2460000000000004</v>
      </c>
      <c r="Q25" s="591"/>
      <c r="R25" s="592"/>
      <c r="S25" s="592"/>
      <c r="T25" s="593"/>
      <c r="U25" s="417"/>
      <c r="V25" s="240">
        <f t="shared" si="5"/>
        <v>0</v>
      </c>
      <c r="W25" s="240">
        <f t="shared" si="18"/>
        <v>0</v>
      </c>
      <c r="X25" s="240">
        <f t="shared" si="6"/>
        <v>0</v>
      </c>
      <c r="Y25" s="242">
        <f t="shared" si="19"/>
        <v>0</v>
      </c>
      <c r="Z25" s="417"/>
      <c r="AA25" s="417"/>
      <c r="AB25" s="417"/>
      <c r="AC25" s="417"/>
      <c r="AD25" s="417"/>
      <c r="AE25" s="240">
        <f t="shared" si="7"/>
        <v>0</v>
      </c>
      <c r="AF25" s="240">
        <f t="shared" si="20"/>
        <v>0</v>
      </c>
      <c r="AG25" s="240">
        <f t="shared" si="8"/>
        <v>0</v>
      </c>
      <c r="AH25" s="242">
        <f t="shared" si="21"/>
        <v>0</v>
      </c>
      <c r="AI25" s="417"/>
      <c r="AJ25" s="417"/>
      <c r="AK25" s="417"/>
      <c r="AL25" s="417"/>
      <c r="AM25" s="472"/>
      <c r="AN25" s="240">
        <f t="shared" si="9"/>
        <v>0</v>
      </c>
      <c r="AO25" s="240">
        <f t="shared" si="10"/>
        <v>0</v>
      </c>
      <c r="AP25" s="240">
        <f t="shared" si="11"/>
        <v>0</v>
      </c>
      <c r="AQ25" s="242">
        <f t="shared" si="22"/>
        <v>0</v>
      </c>
      <c r="AR25" s="245"/>
      <c r="AS25" s="245"/>
      <c r="AT25" s="245"/>
      <c r="AU25" s="420"/>
      <c r="AZ25" s="189"/>
      <c r="BA25" s="189"/>
      <c r="BB25" s="189"/>
      <c r="BC25" s="189"/>
      <c r="BD25" s="189"/>
      <c r="BE25" s="189"/>
      <c r="BG25" s="145">
        <f>IF($K25&gt;=0,+SUM(L$9:$L25)-$B25+Okt!$AZ$41+SUM(AQ$9:$AQ25)," ")</f>
        <v>3.3333333333445125E-3</v>
      </c>
      <c r="BH25" s="144">
        <f t="shared" si="23"/>
        <v>1</v>
      </c>
      <c r="BI25" s="146">
        <f>FLOOR(BG25,BH25)</f>
        <v>0</v>
      </c>
      <c r="BJ25" s="146">
        <f>+BG25-BI25</f>
        <v>3.3333333333445125E-3</v>
      </c>
      <c r="BK25" s="146">
        <f t="shared" si="26"/>
        <v>2.0000000000067073E-3</v>
      </c>
      <c r="BL25" s="164">
        <f>IF(BN25=2,+BK25+BI25,"")</f>
        <v>2.0000000000067073E-3</v>
      </c>
      <c r="BM25" s="157">
        <f>+P25</f>
        <v>9.2460000000000004</v>
      </c>
      <c r="BN25">
        <f t="shared" si="12"/>
        <v>2</v>
      </c>
    </row>
    <row r="26" spans="1:66" ht="15.95" customHeight="1" x14ac:dyDescent="0.25">
      <c r="A26" s="83"/>
      <c r="B26" s="84">
        <f>IF($I26&lt;&gt;"",IF(WEEKDAY($I26,2)&lt;6,IF(VLOOKUP(WEEKDAY($I26,2),InputUge,3)&gt;0,IF($A26="",VLOOKUP(WEEKDAY($I26,2),InputUge,3)+MAX(B$8:B25),IF($A26&lt;VLOOKUP(WEEKDAY($I26,2),InputUge,3),$A26+MAX(B$8:B25),VLOOKUP(WEEKDAY($I26,2),InputUge,3)+MAX(B$8:B25))),""),""),"")</f>
        <v>103.95666666666666</v>
      </c>
      <c r="C26" s="144">
        <f t="shared" si="13"/>
        <v>1</v>
      </c>
      <c r="D26" s="146">
        <f t="shared" si="14"/>
        <v>103</v>
      </c>
      <c r="E26" s="146">
        <f t="shared" si="15"/>
        <v>0.95666666666666345</v>
      </c>
      <c r="F26" s="146">
        <f t="shared" si="16"/>
        <v>0.57399999999999807</v>
      </c>
      <c r="G26" s="261">
        <f t="shared" si="0"/>
        <v>103.574</v>
      </c>
      <c r="H26" s="4">
        <v>18</v>
      </c>
      <c r="I26" s="16">
        <f t="shared" si="17"/>
        <v>41565</v>
      </c>
      <c r="J26" s="6">
        <v>0.34791666666666665</v>
      </c>
      <c r="K26" s="6">
        <v>0.61458333333333337</v>
      </c>
      <c r="L26" s="5">
        <f>IF(K26&gt;0,ROUND(((K26-J26)*24)-SUM(BR26:BS26)+BT26,2)+IF(Fredagsfrokost="n",IF(WEEKDAY($I26,2)=5,IF(K26&gt;=0.5,IF(K26&lt;=13/24,0,0),0),0),0),IF(AW26&gt;0,AW26,""))</f>
        <v>6.4</v>
      </c>
      <c r="M26" s="141">
        <f t="shared" si="1"/>
        <v>6</v>
      </c>
      <c r="N26" s="141">
        <f t="shared" si="2"/>
        <v>0.40000000000000036</v>
      </c>
      <c r="O26" s="141">
        <f t="shared" si="3"/>
        <v>0.24000000000000021</v>
      </c>
      <c r="P26" s="162">
        <f t="shared" si="4"/>
        <v>6.24</v>
      </c>
      <c r="Q26" s="591"/>
      <c r="R26" s="592"/>
      <c r="S26" s="592"/>
      <c r="T26" s="593"/>
      <c r="U26" s="417"/>
      <c r="V26" s="240">
        <f t="shared" si="5"/>
        <v>0</v>
      </c>
      <c r="W26" s="240">
        <f t="shared" si="18"/>
        <v>0</v>
      </c>
      <c r="X26" s="240">
        <f t="shared" si="6"/>
        <v>0</v>
      </c>
      <c r="Y26" s="242">
        <f t="shared" si="19"/>
        <v>0</v>
      </c>
      <c r="Z26" s="417"/>
      <c r="AA26" s="417"/>
      <c r="AB26" s="417"/>
      <c r="AC26" s="417"/>
      <c r="AD26" s="417"/>
      <c r="AE26" s="240">
        <f t="shared" si="7"/>
        <v>0</v>
      </c>
      <c r="AF26" s="240">
        <f t="shared" si="20"/>
        <v>0</v>
      </c>
      <c r="AG26" s="240">
        <f t="shared" si="8"/>
        <v>0</v>
      </c>
      <c r="AH26" s="242">
        <f t="shared" si="21"/>
        <v>0</v>
      </c>
      <c r="AI26" s="417"/>
      <c r="AJ26" s="417"/>
      <c r="AK26" s="417"/>
      <c r="AL26" s="417"/>
      <c r="AM26" s="472"/>
      <c r="AN26" s="240">
        <f t="shared" si="9"/>
        <v>0</v>
      </c>
      <c r="AO26" s="240">
        <f t="shared" si="10"/>
        <v>0</v>
      </c>
      <c r="AP26" s="240">
        <f t="shared" si="11"/>
        <v>0</v>
      </c>
      <c r="AQ26" s="242">
        <f t="shared" si="22"/>
        <v>0</v>
      </c>
      <c r="AR26" s="245"/>
      <c r="AS26" s="245"/>
      <c r="AT26" s="245"/>
      <c r="AU26" s="420"/>
      <c r="AZ26" s="189"/>
      <c r="BA26" s="189"/>
      <c r="BB26" s="189"/>
      <c r="BC26" s="189"/>
      <c r="BD26" s="189"/>
      <c r="BE26" s="189"/>
      <c r="BG26" s="145">
        <f>IF($K26&gt;=0,+SUM(L$9:$L26)-$B26+Okt!$AZ$41+SUM(AQ$9:$AQ26)," ")</f>
        <v>3.3333333333445125E-3</v>
      </c>
      <c r="BH26" s="144">
        <f t="shared" si="23"/>
        <v>1</v>
      </c>
      <c r="BI26" s="146">
        <f t="shared" si="24"/>
        <v>0</v>
      </c>
      <c r="BJ26" s="146">
        <f t="shared" si="25"/>
        <v>3.3333333333445125E-3</v>
      </c>
      <c r="BK26" s="146">
        <f t="shared" si="26"/>
        <v>2.0000000000067073E-3</v>
      </c>
      <c r="BL26" s="164">
        <f t="shared" si="27"/>
        <v>2.0000000000067073E-3</v>
      </c>
      <c r="BM26" s="157">
        <f t="shared" si="28"/>
        <v>6.24</v>
      </c>
      <c r="BN26">
        <f t="shared" si="12"/>
        <v>2</v>
      </c>
    </row>
    <row r="27" spans="1:66" ht="15.95" customHeight="1" x14ac:dyDescent="0.25">
      <c r="A27" s="83"/>
      <c r="B27" s="84" t="str">
        <f>IF($I27&lt;&gt;"",IF(WEEKDAY($I27,2)&lt;6,IF(VLOOKUP(WEEKDAY($I27,2),InputUge,3)&gt;0,IF($A27="",VLOOKUP(WEEKDAY($I27,2),InputUge,3)+MAX(B$8:B26),IF($A27&lt;VLOOKUP(WEEKDAY($I27,2),InputUge,3),$A27+MAX(B$8:B26),VLOOKUP(WEEKDAY($I27,2),InputUge,3)+MAX(B$8:B26))),""),""),"")</f>
        <v/>
      </c>
      <c r="C27" s="144">
        <f t="shared" si="13"/>
        <v>1</v>
      </c>
      <c r="D27" s="146" t="e">
        <f t="shared" si="14"/>
        <v>#VALUE!</v>
      </c>
      <c r="E27" s="146" t="e">
        <f t="shared" si="15"/>
        <v>#VALUE!</v>
      </c>
      <c r="F27" s="146" t="e">
        <f t="shared" si="16"/>
        <v>#VALUE!</v>
      </c>
      <c r="G27" s="261"/>
      <c r="H27" s="4">
        <v>19</v>
      </c>
      <c r="I27" s="16">
        <f t="shared" si="17"/>
        <v>41566</v>
      </c>
      <c r="J27" s="6"/>
      <c r="K27" s="6"/>
      <c r="L27" s="5"/>
      <c r="M27" s="141"/>
      <c r="N27" s="141"/>
      <c r="O27" s="141"/>
      <c r="P27" s="162"/>
      <c r="Q27" s="591"/>
      <c r="R27" s="592"/>
      <c r="S27" s="592"/>
      <c r="T27" s="593"/>
      <c r="U27" s="417"/>
      <c r="V27" s="240">
        <f t="shared" si="5"/>
        <v>0</v>
      </c>
      <c r="W27" s="240">
        <f t="shared" si="18"/>
        <v>0</v>
      </c>
      <c r="X27" s="240">
        <f t="shared" si="6"/>
        <v>0</v>
      </c>
      <c r="Y27" s="242">
        <f t="shared" si="19"/>
        <v>0</v>
      </c>
      <c r="Z27" s="417"/>
      <c r="AA27" s="417"/>
      <c r="AB27" s="417"/>
      <c r="AC27" s="417"/>
      <c r="AD27" s="417"/>
      <c r="AE27" s="240">
        <f t="shared" si="7"/>
        <v>0</v>
      </c>
      <c r="AF27" s="240">
        <f t="shared" si="20"/>
        <v>0</v>
      </c>
      <c r="AG27" s="240">
        <f t="shared" si="8"/>
        <v>0</v>
      </c>
      <c r="AH27" s="242">
        <f t="shared" si="21"/>
        <v>0</v>
      </c>
      <c r="AI27" s="417"/>
      <c r="AJ27" s="417"/>
      <c r="AK27" s="417"/>
      <c r="AL27" s="417"/>
      <c r="AM27" s="472"/>
      <c r="AN27" s="240">
        <f t="shared" si="9"/>
        <v>0</v>
      </c>
      <c r="AO27" s="240">
        <f t="shared" si="10"/>
        <v>0</v>
      </c>
      <c r="AP27" s="240">
        <f t="shared" si="11"/>
        <v>0</v>
      </c>
      <c r="AQ27" s="242">
        <f t="shared" si="22"/>
        <v>0</v>
      </c>
      <c r="AR27" s="245"/>
      <c r="AS27" s="245"/>
      <c r="AT27" s="245"/>
      <c r="AU27" s="420"/>
      <c r="AZ27" s="189"/>
      <c r="BA27" s="189"/>
      <c r="BB27" s="189"/>
      <c r="BC27" s="189"/>
      <c r="BD27" s="189"/>
      <c r="BE27" s="189"/>
      <c r="BG27" s="145" t="e">
        <f>IF($K27&gt;=0,+SUM(L$9:$L27)-$B27+Okt!$AZ$41+SUM(AQ$9:$AQ27)," ")</f>
        <v>#VALUE!</v>
      </c>
      <c r="BH27" s="144" t="e">
        <f t="shared" si="23"/>
        <v>#VALUE!</v>
      </c>
      <c r="BI27" s="146" t="e">
        <f t="shared" si="24"/>
        <v>#VALUE!</v>
      </c>
      <c r="BJ27" s="146" t="e">
        <f t="shared" si="25"/>
        <v>#VALUE!</v>
      </c>
      <c r="BK27" s="146" t="e">
        <f t="shared" si="26"/>
        <v>#VALUE!</v>
      </c>
      <c r="BL27" s="164"/>
      <c r="BM27" s="157">
        <f t="shared" si="28"/>
        <v>0</v>
      </c>
      <c r="BN27">
        <f t="shared" si="12"/>
        <v>2</v>
      </c>
    </row>
    <row r="28" spans="1:66" ht="15.95" customHeight="1" x14ac:dyDescent="0.25">
      <c r="A28" s="83"/>
      <c r="B28" s="84" t="str">
        <f>IF($I28&lt;&gt;"",IF(WEEKDAY($I28,2)&lt;6,IF(VLOOKUP(WEEKDAY($I28,2),InputUge,3)&gt;0,IF($A28="",VLOOKUP(WEEKDAY($I28,2),InputUge,3)+MAX(B$8:B27),IF($A28&lt;VLOOKUP(WEEKDAY($I28,2),InputUge,3),$A28+MAX(B$8:B27),VLOOKUP(WEEKDAY($I28,2),InputUge,3)+MAX(B$8:B27))),""),""),"")</f>
        <v/>
      </c>
      <c r="C28" s="144">
        <f t="shared" si="13"/>
        <v>1</v>
      </c>
      <c r="D28" s="146" t="e">
        <f t="shared" si="14"/>
        <v>#VALUE!</v>
      </c>
      <c r="E28" s="146" t="e">
        <f t="shared" si="15"/>
        <v>#VALUE!</v>
      </c>
      <c r="F28" s="146" t="e">
        <f t="shared" si="16"/>
        <v>#VALUE!</v>
      </c>
      <c r="G28" s="261"/>
      <c r="H28" s="4">
        <v>20</v>
      </c>
      <c r="I28" s="16">
        <f t="shared" si="17"/>
        <v>41567</v>
      </c>
      <c r="J28" s="6"/>
      <c r="K28" s="6"/>
      <c r="L28" s="5"/>
      <c r="M28" s="141">
        <f t="shared" si="1"/>
        <v>0</v>
      </c>
      <c r="N28" s="141">
        <f t="shared" si="2"/>
        <v>0</v>
      </c>
      <c r="O28" s="141">
        <f t="shared" si="3"/>
        <v>0</v>
      </c>
      <c r="P28" s="141" t="str">
        <f t="shared" si="4"/>
        <v/>
      </c>
      <c r="Q28" s="591"/>
      <c r="R28" s="592"/>
      <c r="S28" s="592"/>
      <c r="T28" s="593"/>
      <c r="U28" s="417"/>
      <c r="V28" s="240">
        <f t="shared" si="5"/>
        <v>0</v>
      </c>
      <c r="W28" s="240">
        <f t="shared" si="18"/>
        <v>0</v>
      </c>
      <c r="X28" s="240">
        <f t="shared" si="6"/>
        <v>0</v>
      </c>
      <c r="Y28" s="242">
        <f t="shared" si="19"/>
        <v>0</v>
      </c>
      <c r="Z28" s="417"/>
      <c r="AA28" s="417"/>
      <c r="AB28" s="417"/>
      <c r="AC28" s="417"/>
      <c r="AD28" s="417"/>
      <c r="AE28" s="240">
        <f t="shared" si="7"/>
        <v>0</v>
      </c>
      <c r="AF28" s="240">
        <f t="shared" si="20"/>
        <v>0</v>
      </c>
      <c r="AG28" s="240">
        <f t="shared" si="8"/>
        <v>0</v>
      </c>
      <c r="AH28" s="242">
        <f t="shared" si="21"/>
        <v>0</v>
      </c>
      <c r="AI28" s="417"/>
      <c r="AJ28" s="417"/>
      <c r="AK28" s="417"/>
      <c r="AL28" s="417"/>
      <c r="AM28" s="472"/>
      <c r="AN28" s="240">
        <f t="shared" si="9"/>
        <v>0</v>
      </c>
      <c r="AO28" s="240">
        <f t="shared" si="10"/>
        <v>0</v>
      </c>
      <c r="AP28" s="240">
        <f t="shared" si="11"/>
        <v>0</v>
      </c>
      <c r="AQ28" s="242">
        <f t="shared" si="22"/>
        <v>0</v>
      </c>
      <c r="AR28" s="245"/>
      <c r="AS28" s="245"/>
      <c r="AT28" s="245"/>
      <c r="AU28" s="420"/>
      <c r="AZ28" s="189"/>
      <c r="BA28" s="189"/>
      <c r="BB28" s="189"/>
      <c r="BC28" s="189"/>
      <c r="BD28" s="189"/>
      <c r="BE28" s="189"/>
      <c r="BG28" s="145" t="e">
        <f>IF($K28&gt;=0,+SUM(L$9:$L28)-$B28+Okt!$AZ$41+SUM(AQ$9:$AQ28)," ")</f>
        <v>#VALUE!</v>
      </c>
      <c r="BH28" s="144" t="e">
        <f t="shared" si="23"/>
        <v>#VALUE!</v>
      </c>
      <c r="BI28" s="146" t="e">
        <f t="shared" si="24"/>
        <v>#VALUE!</v>
      </c>
      <c r="BJ28" s="146" t="e">
        <f t="shared" si="25"/>
        <v>#VALUE!</v>
      </c>
      <c r="BK28" s="146" t="e">
        <f t="shared" si="26"/>
        <v>#VALUE!</v>
      </c>
      <c r="BL28" s="164" t="str">
        <f t="shared" si="27"/>
        <v/>
      </c>
      <c r="BM28" s="157" t="str">
        <f t="shared" si="28"/>
        <v/>
      </c>
      <c r="BN28">
        <f t="shared" si="12"/>
        <v>1</v>
      </c>
    </row>
    <row r="29" spans="1:66" ht="15.95" customHeight="1" x14ac:dyDescent="0.25">
      <c r="A29" s="83"/>
      <c r="B29" s="84">
        <f>IF($I29&lt;&gt;"",IF(WEEKDAY($I29,2)&lt;6,IF(VLOOKUP(WEEKDAY($I29,2),InputUge,3)&gt;0,IF($A29="",VLOOKUP(WEEKDAY($I29,2),InputUge,3)+MAX(B$8:B28),IF($A29&lt;VLOOKUP(WEEKDAY($I29,2),InputUge,3),$A29+MAX(B$8:B28),VLOOKUP(WEEKDAY($I29,2),InputUge,3)+MAX(B$8:B28))),""),""),"")</f>
        <v>111.02</v>
      </c>
      <c r="C29" s="144">
        <f t="shared" si="13"/>
        <v>1</v>
      </c>
      <c r="D29" s="146">
        <f t="shared" si="14"/>
        <v>111</v>
      </c>
      <c r="E29" s="146">
        <f t="shared" si="15"/>
        <v>1.9999999999996021E-2</v>
      </c>
      <c r="F29" s="146">
        <f t="shared" si="16"/>
        <v>1.1999999999997613E-2</v>
      </c>
      <c r="G29" s="261">
        <f t="shared" si="0"/>
        <v>111.012</v>
      </c>
      <c r="H29" s="4">
        <v>21</v>
      </c>
      <c r="I29" s="16">
        <f t="shared" si="17"/>
        <v>41568</v>
      </c>
      <c r="J29" s="6">
        <v>0.34826388888888887</v>
      </c>
      <c r="K29" s="6">
        <v>0.64236111111111105</v>
      </c>
      <c r="L29" s="5">
        <f>IF(K29&gt;0,ROUND(((K29-J29)*24)-SUM(BR29:BS29)+BT29,2)+IF(Fredagsfrokost="n",IF(WEEKDAY($I29,2)=5,IF(K29&gt;=0.5,IF(K29&lt;=13/24,0,0),0),0),0),IF(AW29&gt;0,AW29,""))</f>
        <v>7.06</v>
      </c>
      <c r="M29" s="141">
        <f>FLOOR(L29,1)</f>
        <v>7</v>
      </c>
      <c r="N29" s="141">
        <f>+L29-M29</f>
        <v>5.9999999999999609E-2</v>
      </c>
      <c r="O29" s="141">
        <f>+N29/100*60</f>
        <v>3.5999999999999761E-2</v>
      </c>
      <c r="P29" s="162">
        <f>IF(J29="","",O29+M29)</f>
        <v>7.0359999999999996</v>
      </c>
      <c r="Q29" s="591"/>
      <c r="R29" s="592"/>
      <c r="S29" s="592"/>
      <c r="T29" s="593"/>
      <c r="U29" s="417"/>
      <c r="V29" s="240">
        <f t="shared" si="5"/>
        <v>0</v>
      </c>
      <c r="W29" s="240">
        <f t="shared" si="18"/>
        <v>0</v>
      </c>
      <c r="X29" s="240">
        <f t="shared" si="6"/>
        <v>0</v>
      </c>
      <c r="Y29" s="242">
        <f t="shared" si="19"/>
        <v>0</v>
      </c>
      <c r="Z29" s="417"/>
      <c r="AA29" s="417"/>
      <c r="AB29" s="417"/>
      <c r="AC29" s="417"/>
      <c r="AD29" s="417"/>
      <c r="AE29" s="240">
        <f t="shared" si="7"/>
        <v>0</v>
      </c>
      <c r="AF29" s="240">
        <f t="shared" si="20"/>
        <v>0</v>
      </c>
      <c r="AG29" s="240">
        <f t="shared" si="8"/>
        <v>0</v>
      </c>
      <c r="AH29" s="242">
        <f t="shared" si="21"/>
        <v>0</v>
      </c>
      <c r="AI29" s="417"/>
      <c r="AJ29" s="417"/>
      <c r="AK29" s="417"/>
      <c r="AL29" s="417"/>
      <c r="AM29" s="472"/>
      <c r="AN29" s="240">
        <f t="shared" si="9"/>
        <v>0</v>
      </c>
      <c r="AO29" s="240">
        <f t="shared" si="10"/>
        <v>0</v>
      </c>
      <c r="AP29" s="240">
        <f t="shared" si="11"/>
        <v>0</v>
      </c>
      <c r="AQ29" s="242">
        <f t="shared" si="22"/>
        <v>0</v>
      </c>
      <c r="AR29" s="245"/>
      <c r="AS29" s="245"/>
      <c r="AT29" s="245"/>
      <c r="AU29" s="420"/>
      <c r="AZ29" s="189"/>
      <c r="BA29" s="189"/>
      <c r="BB29" s="189"/>
      <c r="BC29" s="189"/>
      <c r="BD29" s="189"/>
      <c r="BE29" s="189"/>
      <c r="BG29" s="145">
        <f>IF($K29&gt;=0,+SUM(L$9:$L29)-$B29+Okt!$AZ$41+SUM(AQ$9:$AQ29)," ")</f>
        <v>1.4210854715202004E-14</v>
      </c>
      <c r="BH29" s="144">
        <f t="shared" si="23"/>
        <v>1</v>
      </c>
      <c r="BI29" s="146">
        <f t="shared" si="24"/>
        <v>0</v>
      </c>
      <c r="BJ29" s="146">
        <f t="shared" si="25"/>
        <v>1.4210854715202004E-14</v>
      </c>
      <c r="BK29" s="146">
        <f t="shared" si="26"/>
        <v>8.5265128291212019E-15</v>
      </c>
      <c r="BL29" s="164">
        <f t="shared" si="27"/>
        <v>8.5265128291212019E-15</v>
      </c>
      <c r="BM29" s="157">
        <f t="shared" si="28"/>
        <v>7.0359999999999996</v>
      </c>
      <c r="BN29">
        <f t="shared" si="12"/>
        <v>2</v>
      </c>
    </row>
    <row r="30" spans="1:66" ht="15.95" customHeight="1" x14ac:dyDescent="0.25">
      <c r="A30" s="83"/>
      <c r="B30" s="84">
        <f>IF($I30&lt;&gt;"",IF(WEEKDAY($I30,2)&lt;6,IF(VLOOKUP(WEEKDAY($I30,2),InputUge,3)&gt;0,IF($A30="",VLOOKUP(WEEKDAY($I30,2),InputUge,3)+MAX(B$8:B29),IF($A30&lt;VLOOKUP(WEEKDAY($I30,2),InputUge,3),$A30+MAX(B$8:B29),VLOOKUP(WEEKDAY($I30,2),InputUge,3)+MAX(B$8:B29))),""),""),"")</f>
        <v>118.08666666666666</v>
      </c>
      <c r="C30" s="144">
        <f t="shared" si="13"/>
        <v>1</v>
      </c>
      <c r="D30" s="146">
        <f t="shared" si="14"/>
        <v>118</v>
      </c>
      <c r="E30" s="146">
        <f t="shared" si="15"/>
        <v>8.6666666666658898E-2</v>
      </c>
      <c r="F30" s="146">
        <f t="shared" si="16"/>
        <v>5.1999999999995342E-2</v>
      </c>
      <c r="G30" s="261">
        <f t="shared" si="0"/>
        <v>118.05199999999999</v>
      </c>
      <c r="H30" s="4">
        <v>22</v>
      </c>
      <c r="I30" s="16">
        <f t="shared" si="17"/>
        <v>41569</v>
      </c>
      <c r="J30" s="6">
        <v>0.34791666666666665</v>
      </c>
      <c r="K30" s="6">
        <v>0.64236111111111105</v>
      </c>
      <c r="L30" s="5">
        <f>IF(K30&gt;0,ROUND(((K30-J30)*24)-SUM(BR30:BS30)+BT30,2)+IF(Fredagsfrokost="n",IF(WEEKDAY($I30,2)=5,IF(K30&gt;=0.5,IF(K30&lt;=13/24,0,0),0),0),0),IF(AW30&gt;0,AW30,""))</f>
        <v>7.07</v>
      </c>
      <c r="M30" s="141">
        <f>FLOOR(L30,1)</f>
        <v>7</v>
      </c>
      <c r="N30" s="141">
        <f>+L30-M30</f>
        <v>7.0000000000000284E-2</v>
      </c>
      <c r="O30" s="141">
        <f>+N30/100*60</f>
        <v>4.2000000000000169E-2</v>
      </c>
      <c r="P30" s="162">
        <f>IF(J30="","",O30+M30)</f>
        <v>7.0419999999999998</v>
      </c>
      <c r="Q30" s="591"/>
      <c r="R30" s="592"/>
      <c r="S30" s="592"/>
      <c r="T30" s="593"/>
      <c r="U30" s="417"/>
      <c r="V30" s="240">
        <f t="shared" si="5"/>
        <v>0</v>
      </c>
      <c r="W30" s="240">
        <f t="shared" si="18"/>
        <v>0</v>
      </c>
      <c r="X30" s="240">
        <f t="shared" si="6"/>
        <v>0</v>
      </c>
      <c r="Y30" s="242">
        <f t="shared" si="19"/>
        <v>0</v>
      </c>
      <c r="Z30" s="417"/>
      <c r="AA30" s="417"/>
      <c r="AB30" s="417"/>
      <c r="AC30" s="417"/>
      <c r="AD30" s="417"/>
      <c r="AE30" s="240">
        <f t="shared" si="7"/>
        <v>0</v>
      </c>
      <c r="AF30" s="240">
        <f t="shared" si="20"/>
        <v>0</v>
      </c>
      <c r="AG30" s="240">
        <f t="shared" si="8"/>
        <v>0</v>
      </c>
      <c r="AH30" s="242">
        <f t="shared" si="21"/>
        <v>0</v>
      </c>
      <c r="AI30" s="417"/>
      <c r="AJ30" s="417"/>
      <c r="AK30" s="417"/>
      <c r="AL30" s="417"/>
      <c r="AM30" s="472"/>
      <c r="AN30" s="240">
        <f t="shared" si="9"/>
        <v>0</v>
      </c>
      <c r="AO30" s="240">
        <f t="shared" si="10"/>
        <v>0</v>
      </c>
      <c r="AP30" s="240">
        <f t="shared" si="11"/>
        <v>0</v>
      </c>
      <c r="AQ30" s="242">
        <f t="shared" si="22"/>
        <v>0</v>
      </c>
      <c r="AR30" s="245"/>
      <c r="AS30" s="245"/>
      <c r="AT30" s="245"/>
      <c r="AU30" s="420"/>
      <c r="AZ30" s="189"/>
      <c r="BA30" s="189"/>
      <c r="BB30" s="189"/>
      <c r="BC30" s="189"/>
      <c r="BD30" s="189"/>
      <c r="BE30" s="189"/>
      <c r="BG30" s="145">
        <f>IF($K30&gt;=0,+SUM(L$9:$L30)-$B30+Okt!$AZ$41+SUM(AQ$9:$AQ30)," ")</f>
        <v>3.3333333333445125E-3</v>
      </c>
      <c r="BH30" s="144">
        <f t="shared" si="23"/>
        <v>1</v>
      </c>
      <c r="BI30" s="146">
        <f t="shared" si="24"/>
        <v>0</v>
      </c>
      <c r="BJ30" s="146">
        <f t="shared" si="25"/>
        <v>3.3333333333445125E-3</v>
      </c>
      <c r="BK30" s="146">
        <f t="shared" si="26"/>
        <v>2.0000000000067073E-3</v>
      </c>
      <c r="BL30" s="164">
        <f>IF(BN30=2,+BK30+BI30,"")</f>
        <v>2.0000000000067073E-3</v>
      </c>
      <c r="BM30" s="157">
        <f>+P30</f>
        <v>7.0419999999999998</v>
      </c>
      <c r="BN30">
        <f t="shared" si="12"/>
        <v>2</v>
      </c>
    </row>
    <row r="31" spans="1:66" ht="15.95" customHeight="1" x14ac:dyDescent="0.25">
      <c r="A31" s="83"/>
      <c r="B31" s="84">
        <f>IF($I31&lt;&gt;"",IF(WEEKDAY($I31,2)&lt;6,IF(VLOOKUP(WEEKDAY($I31,2),InputUge,3)&gt;0,IF($A31="",VLOOKUP(WEEKDAY($I31,2),InputUge,3)+MAX(B$8:B30),IF($A31&lt;VLOOKUP(WEEKDAY($I31,2),InputUge,3),$A31+MAX(B$8:B30),VLOOKUP(WEEKDAY($I31,2),InputUge,3)+MAX(B$8:B30))),""),""),"")</f>
        <v>125.15333333333332</v>
      </c>
      <c r="C31" s="144">
        <f t="shared" si="13"/>
        <v>1</v>
      </c>
      <c r="D31" s="146">
        <f t="shared" si="14"/>
        <v>125</v>
      </c>
      <c r="E31" s="146">
        <f t="shared" si="15"/>
        <v>0.15333333333332178</v>
      </c>
      <c r="F31" s="146">
        <f t="shared" si="16"/>
        <v>9.1999999999993073E-2</v>
      </c>
      <c r="G31" s="261">
        <f t="shared" si="0"/>
        <v>125.092</v>
      </c>
      <c r="H31" s="4">
        <v>23</v>
      </c>
      <c r="I31" s="16">
        <f t="shared" si="17"/>
        <v>41570</v>
      </c>
      <c r="J31" s="6">
        <v>0.34791666666666665</v>
      </c>
      <c r="K31" s="6">
        <v>0.64236111111111105</v>
      </c>
      <c r="L31" s="5">
        <f>IF(K31&gt;0,ROUND(((K31-J31)*24)-SUM(BR31:BS31)+BT31,2)+IF(Fredagsfrokost="n",IF(WEEKDAY($I31,2)=5,IF(K31&gt;=0.5,IF(K31&lt;=13/24,0,0),0),0),0),IF(AW31&gt;0,AW31,""))</f>
        <v>7.07</v>
      </c>
      <c r="M31" s="141">
        <f>FLOOR(L31,1)</f>
        <v>7</v>
      </c>
      <c r="N31" s="141">
        <f>+L31-M31</f>
        <v>7.0000000000000284E-2</v>
      </c>
      <c r="O31" s="141">
        <f>+N31/100*60</f>
        <v>4.2000000000000169E-2</v>
      </c>
      <c r="P31" s="162">
        <f>IF(J31="","",O31+M31)</f>
        <v>7.0419999999999998</v>
      </c>
      <c r="Q31" s="591"/>
      <c r="R31" s="592"/>
      <c r="S31" s="592"/>
      <c r="T31" s="593"/>
      <c r="U31" s="417"/>
      <c r="V31" s="240">
        <f t="shared" si="5"/>
        <v>0</v>
      </c>
      <c r="W31" s="240">
        <f t="shared" si="18"/>
        <v>0</v>
      </c>
      <c r="X31" s="240">
        <f t="shared" si="6"/>
        <v>0</v>
      </c>
      <c r="Y31" s="242">
        <f t="shared" si="19"/>
        <v>0</v>
      </c>
      <c r="Z31" s="417"/>
      <c r="AA31" s="417"/>
      <c r="AB31" s="417"/>
      <c r="AC31" s="417"/>
      <c r="AD31" s="417"/>
      <c r="AE31" s="240">
        <f t="shared" si="7"/>
        <v>0</v>
      </c>
      <c r="AF31" s="240">
        <f t="shared" si="20"/>
        <v>0</v>
      </c>
      <c r="AG31" s="240">
        <f t="shared" si="8"/>
        <v>0</v>
      </c>
      <c r="AH31" s="242">
        <f t="shared" si="21"/>
        <v>0</v>
      </c>
      <c r="AI31" s="417"/>
      <c r="AJ31" s="417"/>
      <c r="AK31" s="417"/>
      <c r="AL31" s="417"/>
      <c r="AM31" s="472"/>
      <c r="AN31" s="240">
        <f t="shared" si="9"/>
        <v>0</v>
      </c>
      <c r="AO31" s="240">
        <f t="shared" si="10"/>
        <v>0</v>
      </c>
      <c r="AP31" s="240">
        <f t="shared" si="11"/>
        <v>0</v>
      </c>
      <c r="AQ31" s="242">
        <f t="shared" si="22"/>
        <v>0</v>
      </c>
      <c r="AR31" s="245"/>
      <c r="AS31" s="245"/>
      <c r="AT31" s="245"/>
      <c r="AU31" s="420"/>
      <c r="AZ31" s="189"/>
      <c r="BA31" s="189"/>
      <c r="BB31" s="189"/>
      <c r="BC31" s="189"/>
      <c r="BD31" s="189"/>
      <c r="BE31" s="189"/>
      <c r="BG31" s="145">
        <f>IF($K31&gt;=0,+SUM(L$9:$L31)-$B31+Okt!$AZ$41+SUM(AQ$9:$AQ31)," ")</f>
        <v>6.6666666666748142E-3</v>
      </c>
      <c r="BH31" s="144">
        <f t="shared" si="23"/>
        <v>1</v>
      </c>
      <c r="BI31" s="146">
        <f t="shared" si="24"/>
        <v>0</v>
      </c>
      <c r="BJ31" s="146">
        <f t="shared" si="25"/>
        <v>6.6666666666748142E-3</v>
      </c>
      <c r="BK31" s="146">
        <f t="shared" si="26"/>
        <v>4.0000000000048885E-3</v>
      </c>
      <c r="BL31" s="164">
        <f>IF(BN31=2,+BK31+BI31,"")</f>
        <v>4.0000000000048885E-3</v>
      </c>
      <c r="BM31" s="157">
        <f>+P31</f>
        <v>7.0419999999999998</v>
      </c>
      <c r="BN31">
        <f t="shared" si="12"/>
        <v>2</v>
      </c>
    </row>
    <row r="32" spans="1:66" ht="15.95" customHeight="1" x14ac:dyDescent="0.25">
      <c r="A32" s="83"/>
      <c r="B32" s="84">
        <f>IF($I32&lt;&gt;"",IF(WEEKDAY($I32,2)&lt;6,IF(VLOOKUP(WEEKDAY($I32,2),InputUge,3)&gt;0,IF($A32="",VLOOKUP(WEEKDAY($I32,2),InputUge,3)+MAX(B$8:B31),IF($A32&lt;VLOOKUP(WEEKDAY($I32,2),InputUge,3),$A32+MAX(B$8:B31),VLOOKUP(WEEKDAY($I32,2),InputUge,3)+MAX(B$8:B31))),""),""),"")</f>
        <v>134.56333333333333</v>
      </c>
      <c r="C32" s="144">
        <f t="shared" si="13"/>
        <v>1</v>
      </c>
      <c r="D32" s="146">
        <f t="shared" si="14"/>
        <v>134</v>
      </c>
      <c r="E32" s="146">
        <f t="shared" si="15"/>
        <v>0.56333333333333258</v>
      </c>
      <c r="F32" s="146">
        <f t="shared" si="16"/>
        <v>0.33799999999999958</v>
      </c>
      <c r="G32" s="261">
        <f t="shared" si="0"/>
        <v>134.33799999999999</v>
      </c>
      <c r="H32" s="4">
        <v>24</v>
      </c>
      <c r="I32" s="16">
        <f t="shared" si="17"/>
        <v>41571</v>
      </c>
      <c r="J32" s="6">
        <v>0.34791666666666665</v>
      </c>
      <c r="K32" s="6">
        <v>0.73981481481481481</v>
      </c>
      <c r="L32" s="5">
        <f>IF(K32&gt;0,ROUND(((K32-J32)*24)-SUM(BR32:BS32)+BT32,2)+IF(Fredagsfrokost="n",IF(WEEKDAY($I32,2)=5,IF(K32&gt;=0.5,IF(K32&lt;=13/24,0,0),0),0),0),IF(AW32&gt;0,AW32,""))</f>
        <v>9.41</v>
      </c>
      <c r="M32" s="141">
        <f>FLOOR(L32,1)</f>
        <v>9</v>
      </c>
      <c r="N32" s="141">
        <f>+L32-M32</f>
        <v>0.41000000000000014</v>
      </c>
      <c r="O32" s="141">
        <f>+N32/100*60</f>
        <v>0.24600000000000008</v>
      </c>
      <c r="P32" s="162">
        <f>IF(J32="","",O32+M32)</f>
        <v>9.2460000000000004</v>
      </c>
      <c r="Q32" s="591"/>
      <c r="R32" s="592"/>
      <c r="S32" s="592"/>
      <c r="T32" s="593"/>
      <c r="U32" s="417"/>
      <c r="V32" s="240">
        <f t="shared" si="5"/>
        <v>0</v>
      </c>
      <c r="W32" s="240">
        <f t="shared" si="18"/>
        <v>0</v>
      </c>
      <c r="X32" s="240">
        <f t="shared" si="6"/>
        <v>0</v>
      </c>
      <c r="Y32" s="242">
        <f t="shared" si="19"/>
        <v>0</v>
      </c>
      <c r="Z32" s="417"/>
      <c r="AA32" s="417"/>
      <c r="AB32" s="417"/>
      <c r="AC32" s="417"/>
      <c r="AD32" s="417"/>
      <c r="AE32" s="240">
        <f t="shared" si="7"/>
        <v>0</v>
      </c>
      <c r="AF32" s="240">
        <f t="shared" si="20"/>
        <v>0</v>
      </c>
      <c r="AG32" s="240">
        <f t="shared" si="8"/>
        <v>0</v>
      </c>
      <c r="AH32" s="242">
        <f t="shared" si="21"/>
        <v>0</v>
      </c>
      <c r="AI32" s="417"/>
      <c r="AJ32" s="417"/>
      <c r="AK32" s="417"/>
      <c r="AL32" s="417"/>
      <c r="AM32" s="472"/>
      <c r="AN32" s="240">
        <f t="shared" si="9"/>
        <v>0</v>
      </c>
      <c r="AO32" s="240">
        <f t="shared" si="10"/>
        <v>0</v>
      </c>
      <c r="AP32" s="240">
        <f t="shared" si="11"/>
        <v>0</v>
      </c>
      <c r="AQ32" s="242">
        <f t="shared" si="22"/>
        <v>0</v>
      </c>
      <c r="AR32" s="245"/>
      <c r="AS32" s="245"/>
      <c r="AT32" s="245"/>
      <c r="AU32" s="420"/>
      <c r="AZ32" s="189"/>
      <c r="BA32" s="189"/>
      <c r="BB32" s="189"/>
      <c r="BC32" s="189"/>
      <c r="BD32" s="189"/>
      <c r="BE32" s="189"/>
      <c r="BG32" s="145">
        <f>IF($K32&gt;=0,+SUM(L$9:$L32)-$B32+Okt!$AZ$41+SUM(AQ$9:$AQ32)," ")</f>
        <v>6.6666666666606034E-3</v>
      </c>
      <c r="BH32" s="144">
        <f t="shared" si="23"/>
        <v>1</v>
      </c>
      <c r="BI32" s="146">
        <f t="shared" si="24"/>
        <v>0</v>
      </c>
      <c r="BJ32" s="146">
        <f t="shared" si="25"/>
        <v>6.6666666666606034E-3</v>
      </c>
      <c r="BK32" s="146">
        <f t="shared" si="26"/>
        <v>3.9999999999963624E-3</v>
      </c>
      <c r="BL32" s="164">
        <f>IF(BN32=2,+BK32+BI32,"")</f>
        <v>3.9999999999963624E-3</v>
      </c>
      <c r="BM32" s="157">
        <f t="shared" si="28"/>
        <v>9.2460000000000004</v>
      </c>
      <c r="BN32">
        <f t="shared" si="12"/>
        <v>2</v>
      </c>
    </row>
    <row r="33" spans="1:66" ht="15.95" customHeight="1" x14ac:dyDescent="0.25">
      <c r="A33" s="83"/>
      <c r="B33" s="84">
        <f>IF($I33&lt;&gt;"",IF(WEEKDAY($I33,2)&lt;6,IF(VLOOKUP(WEEKDAY($I33,2),InputUge,3)&gt;0,IF($A33="",VLOOKUP(WEEKDAY($I33,2),InputUge,3)+MAX(B$8:B32),IF($A33&lt;VLOOKUP(WEEKDAY($I33,2),InputUge,3),$A33+MAX(B$8:B32),VLOOKUP(WEEKDAY($I33,2),InputUge,3)+MAX(B$8:B32))),""),""),"")</f>
        <v>140.96333333333334</v>
      </c>
      <c r="C33" s="144">
        <f t="shared" si="13"/>
        <v>1</v>
      </c>
      <c r="D33" s="146">
        <f t="shared" si="14"/>
        <v>140</v>
      </c>
      <c r="E33" s="146">
        <f t="shared" si="15"/>
        <v>0.96333333333333826</v>
      </c>
      <c r="F33" s="146">
        <f t="shared" si="16"/>
        <v>0.57800000000000296</v>
      </c>
      <c r="G33" s="261">
        <f t="shared" si="0"/>
        <v>140.578</v>
      </c>
      <c r="H33" s="4">
        <v>25</v>
      </c>
      <c r="I33" s="16">
        <f t="shared" si="17"/>
        <v>41572</v>
      </c>
      <c r="J33" s="6">
        <v>0.34791666666666665</v>
      </c>
      <c r="K33" s="6">
        <v>0.61458333333333337</v>
      </c>
      <c r="L33" s="5">
        <f>IF(K33&gt;0,ROUND(((K33-J33)*24)-SUM(BR33:BS33)+BT33,2)+IF(Fredagsfrokost="n",IF(WEEKDAY($I33,2)=5,IF(K33&gt;=0.5,IF(K33&lt;=13/24,0,0),0),0),0),IF(AW33&gt;0,AW33,""))</f>
        <v>6.4</v>
      </c>
      <c r="M33" s="141">
        <f>FLOOR(L33,1)</f>
        <v>6</v>
      </c>
      <c r="N33" s="141">
        <f>+L33-M33</f>
        <v>0.40000000000000036</v>
      </c>
      <c r="O33" s="141">
        <f>+N33/100*60</f>
        <v>0.24000000000000021</v>
      </c>
      <c r="P33" s="162">
        <f>IF(J33="","",O33+M33)</f>
        <v>6.24</v>
      </c>
      <c r="Q33" s="591"/>
      <c r="R33" s="592"/>
      <c r="S33" s="592"/>
      <c r="T33" s="593"/>
      <c r="U33" s="417"/>
      <c r="V33" s="240">
        <f t="shared" si="5"/>
        <v>0</v>
      </c>
      <c r="W33" s="240">
        <f t="shared" si="18"/>
        <v>0</v>
      </c>
      <c r="X33" s="240">
        <f t="shared" si="6"/>
        <v>0</v>
      </c>
      <c r="Y33" s="242">
        <f t="shared" si="19"/>
        <v>0</v>
      </c>
      <c r="Z33" s="417"/>
      <c r="AA33" s="417"/>
      <c r="AB33" s="417"/>
      <c r="AC33" s="417"/>
      <c r="AD33" s="417"/>
      <c r="AE33" s="240">
        <f t="shared" si="7"/>
        <v>0</v>
      </c>
      <c r="AF33" s="240">
        <f t="shared" si="20"/>
        <v>0</v>
      </c>
      <c r="AG33" s="240">
        <f t="shared" si="8"/>
        <v>0</v>
      </c>
      <c r="AH33" s="242">
        <f t="shared" si="21"/>
        <v>0</v>
      </c>
      <c r="AI33" s="417"/>
      <c r="AJ33" s="417"/>
      <c r="AK33" s="417"/>
      <c r="AL33" s="417"/>
      <c r="AM33" s="472"/>
      <c r="AN33" s="240">
        <f t="shared" si="9"/>
        <v>0</v>
      </c>
      <c r="AO33" s="240">
        <f t="shared" si="10"/>
        <v>0</v>
      </c>
      <c r="AP33" s="240">
        <f t="shared" si="11"/>
        <v>0</v>
      </c>
      <c r="AQ33" s="242">
        <f t="shared" si="22"/>
        <v>0</v>
      </c>
      <c r="AR33" s="245"/>
      <c r="AS33" s="245"/>
      <c r="AT33" s="245"/>
      <c r="AU33" s="420"/>
      <c r="AZ33" s="189"/>
      <c r="BA33" s="189"/>
      <c r="BB33" s="189"/>
      <c r="BC33" s="189"/>
      <c r="BD33" s="189"/>
      <c r="BE33" s="189"/>
      <c r="BG33" s="145">
        <f>IF($K33&gt;=0,+SUM(L$9:$L33)-$B33+Okt!$AZ$41+SUM(AQ$9:$AQ33)," ")</f>
        <v>6.6666666666606034E-3</v>
      </c>
      <c r="BH33" s="144">
        <f t="shared" si="23"/>
        <v>1</v>
      </c>
      <c r="BI33" s="146">
        <f t="shared" si="24"/>
        <v>0</v>
      </c>
      <c r="BJ33" s="146">
        <f t="shared" si="25"/>
        <v>6.6666666666606034E-3</v>
      </c>
      <c r="BK33" s="146">
        <f t="shared" si="26"/>
        <v>3.9999999999963624E-3</v>
      </c>
      <c r="BL33" s="164">
        <f t="shared" si="27"/>
        <v>3.9999999999963624E-3</v>
      </c>
      <c r="BM33" s="157">
        <f t="shared" si="28"/>
        <v>6.24</v>
      </c>
      <c r="BN33">
        <f t="shared" si="12"/>
        <v>2</v>
      </c>
    </row>
    <row r="34" spans="1:66" ht="15.95" customHeight="1" x14ac:dyDescent="0.25">
      <c r="A34" s="83"/>
      <c r="B34" s="84" t="str">
        <f>IF($I34&lt;&gt;"",IF(WEEKDAY($I34,2)&lt;6,IF(VLOOKUP(WEEKDAY($I34,2),InputUge,3)&gt;0,IF($A34="",VLOOKUP(WEEKDAY($I34,2),InputUge,3)+MAX(B$8:B33),IF($A34&lt;VLOOKUP(WEEKDAY($I34,2),InputUge,3),$A34+MAX(B$8:B33),VLOOKUP(WEEKDAY($I34,2),InputUge,3)+MAX(B$8:B33))),""),""),"")</f>
        <v/>
      </c>
      <c r="C34" s="144">
        <f t="shared" si="13"/>
        <v>1</v>
      </c>
      <c r="D34" s="146" t="e">
        <f t="shared" si="14"/>
        <v>#VALUE!</v>
      </c>
      <c r="E34" s="146" t="e">
        <f t="shared" si="15"/>
        <v>#VALUE!</v>
      </c>
      <c r="F34" s="146" t="e">
        <f t="shared" si="16"/>
        <v>#VALUE!</v>
      </c>
      <c r="G34" s="261"/>
      <c r="H34" s="4">
        <v>26</v>
      </c>
      <c r="I34" s="16">
        <f t="shared" si="17"/>
        <v>41573</v>
      </c>
      <c r="J34" s="6"/>
      <c r="K34" s="6"/>
      <c r="L34" s="5"/>
      <c r="M34" s="141"/>
      <c r="N34" s="141"/>
      <c r="O34" s="141"/>
      <c r="P34" s="162"/>
      <c r="Q34" s="591"/>
      <c r="R34" s="592"/>
      <c r="S34" s="592"/>
      <c r="T34" s="593"/>
      <c r="U34" s="417"/>
      <c r="V34" s="240">
        <f t="shared" si="5"/>
        <v>0</v>
      </c>
      <c r="W34" s="240">
        <f t="shared" si="18"/>
        <v>0</v>
      </c>
      <c r="X34" s="240">
        <f t="shared" si="6"/>
        <v>0</v>
      </c>
      <c r="Y34" s="242">
        <f t="shared" si="19"/>
        <v>0</v>
      </c>
      <c r="Z34" s="417"/>
      <c r="AA34" s="417"/>
      <c r="AB34" s="417"/>
      <c r="AC34" s="417"/>
      <c r="AD34" s="417"/>
      <c r="AE34" s="240">
        <f t="shared" si="7"/>
        <v>0</v>
      </c>
      <c r="AF34" s="240">
        <f t="shared" si="20"/>
        <v>0</v>
      </c>
      <c r="AG34" s="240">
        <f t="shared" si="8"/>
        <v>0</v>
      </c>
      <c r="AH34" s="242">
        <f t="shared" si="21"/>
        <v>0</v>
      </c>
      <c r="AI34" s="417"/>
      <c r="AJ34" s="417"/>
      <c r="AK34" s="417"/>
      <c r="AL34" s="417"/>
      <c r="AM34" s="472"/>
      <c r="AN34" s="240">
        <f t="shared" si="9"/>
        <v>0</v>
      </c>
      <c r="AO34" s="240">
        <f t="shared" si="10"/>
        <v>0</v>
      </c>
      <c r="AP34" s="240">
        <f t="shared" si="11"/>
        <v>0</v>
      </c>
      <c r="AQ34" s="242">
        <f t="shared" si="22"/>
        <v>0</v>
      </c>
      <c r="AR34" s="245"/>
      <c r="AS34" s="245"/>
      <c r="AT34" s="245"/>
      <c r="AU34" s="420"/>
      <c r="AZ34" s="189"/>
      <c r="BA34" s="189"/>
      <c r="BB34" s="189"/>
      <c r="BC34" s="189"/>
      <c r="BD34" s="189"/>
      <c r="BE34" s="189"/>
      <c r="BG34" s="145" t="e">
        <f>IF($K34&gt;=0,+SUM(L$9:$L34)-$B34+Okt!$AZ$41+SUM(AQ$9:$AQ34)," ")</f>
        <v>#VALUE!</v>
      </c>
      <c r="BH34" s="144" t="e">
        <f t="shared" si="23"/>
        <v>#VALUE!</v>
      </c>
      <c r="BI34" s="146" t="e">
        <f t="shared" si="24"/>
        <v>#VALUE!</v>
      </c>
      <c r="BJ34" s="146" t="e">
        <f t="shared" si="25"/>
        <v>#VALUE!</v>
      </c>
      <c r="BK34" s="146" t="e">
        <f t="shared" si="26"/>
        <v>#VALUE!</v>
      </c>
      <c r="BL34" s="164"/>
      <c r="BM34" s="157">
        <f t="shared" si="28"/>
        <v>0</v>
      </c>
      <c r="BN34">
        <f t="shared" si="12"/>
        <v>2</v>
      </c>
    </row>
    <row r="35" spans="1:66" ht="15.95" customHeight="1" x14ac:dyDescent="0.25">
      <c r="A35" s="83"/>
      <c r="B35" s="84" t="str">
        <f>IF($I35&lt;&gt;"",IF(WEEKDAY($I35,2)&lt;6,IF(VLOOKUP(WEEKDAY($I35,2),InputUge,3)&gt;0,IF($A35="",VLOOKUP(WEEKDAY($I35,2),InputUge,3)+MAX(B$8:B34),IF($A35&lt;VLOOKUP(WEEKDAY($I35,2),InputUge,3),$A35+MAX(B$8:B34),VLOOKUP(WEEKDAY($I35,2),InputUge,3)+MAX(B$8:B34))),""),""),"")</f>
        <v/>
      </c>
      <c r="C35" s="144">
        <f t="shared" si="13"/>
        <v>1</v>
      </c>
      <c r="D35" s="146" t="e">
        <f t="shared" si="14"/>
        <v>#VALUE!</v>
      </c>
      <c r="E35" s="146" t="e">
        <f t="shared" si="15"/>
        <v>#VALUE!</v>
      </c>
      <c r="F35" s="146" t="e">
        <f t="shared" si="16"/>
        <v>#VALUE!</v>
      </c>
      <c r="G35" s="261"/>
      <c r="H35" s="4">
        <v>27</v>
      </c>
      <c r="I35" s="16">
        <f t="shared" si="17"/>
        <v>41574</v>
      </c>
      <c r="J35" s="6"/>
      <c r="K35" s="6"/>
      <c r="L35" s="5"/>
      <c r="M35" s="141">
        <f t="shared" si="1"/>
        <v>0</v>
      </c>
      <c r="N35" s="141">
        <f t="shared" si="2"/>
        <v>0</v>
      </c>
      <c r="O35" s="141">
        <f t="shared" si="3"/>
        <v>0</v>
      </c>
      <c r="P35" s="141" t="str">
        <f t="shared" si="4"/>
        <v/>
      </c>
      <c r="Q35" s="591"/>
      <c r="R35" s="592"/>
      <c r="S35" s="592"/>
      <c r="T35" s="593"/>
      <c r="U35" s="417"/>
      <c r="V35" s="240">
        <f t="shared" si="5"/>
        <v>0</v>
      </c>
      <c r="W35" s="240">
        <f t="shared" si="18"/>
        <v>0</v>
      </c>
      <c r="X35" s="240">
        <f t="shared" si="6"/>
        <v>0</v>
      </c>
      <c r="Y35" s="242">
        <f t="shared" si="19"/>
        <v>0</v>
      </c>
      <c r="Z35" s="417"/>
      <c r="AA35" s="417"/>
      <c r="AB35" s="417"/>
      <c r="AC35" s="417"/>
      <c r="AD35" s="417"/>
      <c r="AE35" s="240">
        <f t="shared" si="7"/>
        <v>0</v>
      </c>
      <c r="AF35" s="240">
        <f t="shared" si="20"/>
        <v>0</v>
      </c>
      <c r="AG35" s="240">
        <f t="shared" si="8"/>
        <v>0</v>
      </c>
      <c r="AH35" s="242">
        <f t="shared" si="21"/>
        <v>0</v>
      </c>
      <c r="AI35" s="417"/>
      <c r="AJ35" s="417"/>
      <c r="AK35" s="417"/>
      <c r="AL35" s="417"/>
      <c r="AM35" s="472"/>
      <c r="AN35" s="240">
        <f t="shared" si="9"/>
        <v>0</v>
      </c>
      <c r="AO35" s="240">
        <f t="shared" si="10"/>
        <v>0</v>
      </c>
      <c r="AP35" s="240">
        <f t="shared" si="11"/>
        <v>0</v>
      </c>
      <c r="AQ35" s="242">
        <f t="shared" si="22"/>
        <v>0</v>
      </c>
      <c r="AR35" s="245"/>
      <c r="AS35" s="245"/>
      <c r="AT35" s="245"/>
      <c r="AU35" s="420"/>
      <c r="AZ35" s="189"/>
      <c r="BA35" s="189"/>
      <c r="BB35" s="189"/>
      <c r="BC35" s="189"/>
      <c r="BD35" s="189"/>
      <c r="BE35" s="189"/>
      <c r="BG35" s="145" t="e">
        <f>IF($K35&gt;=0,+SUM(L$9:$L35)-$B35+Okt!$AZ$41+SUM(AQ$9:$AQ35)," ")</f>
        <v>#VALUE!</v>
      </c>
      <c r="BH35" s="144" t="e">
        <f t="shared" si="23"/>
        <v>#VALUE!</v>
      </c>
      <c r="BI35" s="146" t="e">
        <f t="shared" si="24"/>
        <v>#VALUE!</v>
      </c>
      <c r="BJ35" s="146" t="e">
        <f t="shared" si="25"/>
        <v>#VALUE!</v>
      </c>
      <c r="BK35" s="146" t="e">
        <f t="shared" si="26"/>
        <v>#VALUE!</v>
      </c>
      <c r="BL35" s="164" t="str">
        <f t="shared" si="27"/>
        <v/>
      </c>
      <c r="BM35" s="157" t="str">
        <f t="shared" si="28"/>
        <v/>
      </c>
      <c r="BN35">
        <f t="shared" si="12"/>
        <v>1</v>
      </c>
    </row>
    <row r="36" spans="1:66" ht="15.95" customHeight="1" x14ac:dyDescent="0.25">
      <c r="A36" s="83"/>
      <c r="B36" s="84">
        <f>IF($I36&lt;&gt;"",IF(WEEKDAY($I36,2)&lt;6,IF(VLOOKUP(WEEKDAY($I36,2),InputUge,3)&gt;0,IF($A36="",VLOOKUP(WEEKDAY($I36,2),InputUge,3)+MAX(B$8:B35),IF($A36&lt;VLOOKUP(WEEKDAY($I36,2),InputUge,3),$A36+MAX(B$8:B35),VLOOKUP(WEEKDAY($I36,2),InputUge,3)+MAX(B$8:B35))),""),""),"")</f>
        <v>148.02666666666667</v>
      </c>
      <c r="C36" s="144">
        <f t="shared" si="13"/>
        <v>1</v>
      </c>
      <c r="D36" s="146">
        <f t="shared" si="14"/>
        <v>148</v>
      </c>
      <c r="E36" s="146">
        <f t="shared" si="15"/>
        <v>2.6666666666670835E-2</v>
      </c>
      <c r="F36" s="146">
        <f t="shared" si="16"/>
        <v>1.6000000000002502E-2</v>
      </c>
      <c r="G36" s="261">
        <f t="shared" si="0"/>
        <v>148.01599999999999</v>
      </c>
      <c r="H36" s="4">
        <v>28</v>
      </c>
      <c r="I36" s="16">
        <f t="shared" si="17"/>
        <v>41575</v>
      </c>
      <c r="J36" s="6">
        <v>0.34826388888888887</v>
      </c>
      <c r="K36" s="6">
        <v>0.64236111111111105</v>
      </c>
      <c r="L36" s="5">
        <f>IF(K36&gt;0,ROUND(((K36-J36)*24)-SUM(BR36:BS36)+BT36,2)+IF(Fredagsfrokost="n",IF(WEEKDAY($I36,2)=5,IF(K36&gt;=0.5,IF(K36&lt;=13/24,0,0),0),0),0),IF(AW36&gt;0,AW36,""))</f>
        <v>7.06</v>
      </c>
      <c r="M36" s="141">
        <f>FLOOR(L36,1)</f>
        <v>7</v>
      </c>
      <c r="N36" s="141">
        <f>+L36-M36</f>
        <v>5.9999999999999609E-2</v>
      </c>
      <c r="O36" s="141">
        <f>+N36/100*60</f>
        <v>3.5999999999999761E-2</v>
      </c>
      <c r="P36" s="162">
        <f>IF(J36="","",O36+M36)</f>
        <v>7.0359999999999996</v>
      </c>
      <c r="Q36" s="591"/>
      <c r="R36" s="592"/>
      <c r="S36" s="592"/>
      <c r="T36" s="593"/>
      <c r="U36" s="417"/>
      <c r="V36" s="240">
        <f t="shared" si="5"/>
        <v>0</v>
      </c>
      <c r="W36" s="240">
        <f t="shared" si="18"/>
        <v>0</v>
      </c>
      <c r="X36" s="240">
        <f t="shared" si="6"/>
        <v>0</v>
      </c>
      <c r="Y36" s="242">
        <f t="shared" si="19"/>
        <v>0</v>
      </c>
      <c r="Z36" s="417"/>
      <c r="AA36" s="417"/>
      <c r="AB36" s="417"/>
      <c r="AC36" s="417"/>
      <c r="AD36" s="417"/>
      <c r="AE36" s="240">
        <f t="shared" si="7"/>
        <v>0</v>
      </c>
      <c r="AF36" s="240">
        <f t="shared" si="20"/>
        <v>0</v>
      </c>
      <c r="AG36" s="240">
        <f t="shared" si="8"/>
        <v>0</v>
      </c>
      <c r="AH36" s="242">
        <f t="shared" si="21"/>
        <v>0</v>
      </c>
      <c r="AI36" s="417"/>
      <c r="AJ36" s="417"/>
      <c r="AK36" s="417"/>
      <c r="AL36" s="417"/>
      <c r="AM36" s="472"/>
      <c r="AN36" s="240">
        <f t="shared" si="9"/>
        <v>0</v>
      </c>
      <c r="AO36" s="240">
        <f t="shared" si="10"/>
        <v>0</v>
      </c>
      <c r="AP36" s="240">
        <f t="shared" si="11"/>
        <v>0</v>
      </c>
      <c r="AQ36" s="242">
        <f t="shared" si="22"/>
        <v>0</v>
      </c>
      <c r="AR36" s="245"/>
      <c r="AS36" s="245"/>
      <c r="AT36" s="245"/>
      <c r="AU36" s="420"/>
      <c r="AZ36" s="189"/>
      <c r="BA36" s="189"/>
      <c r="BB36" s="189"/>
      <c r="BC36" s="189"/>
      <c r="BD36" s="189"/>
      <c r="BE36" s="189"/>
      <c r="BG36" s="145">
        <f>IF($K36&gt;=0,+SUM(L$9:$L36)-$B36+Okt!$AZ$41+SUM(AQ$9:$AQ36)," ")</f>
        <v>3.3333333333303017E-3</v>
      </c>
      <c r="BH36" s="144">
        <f t="shared" si="23"/>
        <v>1</v>
      </c>
      <c r="BI36" s="146">
        <f t="shared" si="24"/>
        <v>0</v>
      </c>
      <c r="BJ36" s="146">
        <f t="shared" si="25"/>
        <v>3.3333333333303017E-3</v>
      </c>
      <c r="BK36" s="146">
        <f t="shared" si="26"/>
        <v>1.9999999999981812E-3</v>
      </c>
      <c r="BL36" s="164">
        <f t="shared" si="27"/>
        <v>1.9999999999981812E-3</v>
      </c>
      <c r="BM36" s="157">
        <f t="shared" si="28"/>
        <v>7.0359999999999996</v>
      </c>
      <c r="BN36">
        <f t="shared" si="12"/>
        <v>2</v>
      </c>
    </row>
    <row r="37" spans="1:66" ht="15.95" customHeight="1" x14ac:dyDescent="0.25">
      <c r="A37" s="83"/>
      <c r="B37" s="84">
        <f>IF($I37&lt;&gt;"",IF(WEEKDAY($I37,2)&lt;6,IF(VLOOKUP(WEEKDAY($I37,2),InputUge,3)&gt;0,IF($A37="",VLOOKUP(WEEKDAY($I37,2),InputUge,3)+MAX(B$8:B36),IF($A37&lt;VLOOKUP(WEEKDAY($I37,2),InputUge,3),$A37+MAX(B$8:B36),VLOOKUP(WEEKDAY($I37,2),InputUge,3)+MAX(B$8:B36))),""),""),"")</f>
        <v>155.09333333333333</v>
      </c>
      <c r="C37" s="144">
        <f t="shared" si="13"/>
        <v>1</v>
      </c>
      <c r="D37" s="146">
        <f t="shared" si="14"/>
        <v>155</v>
      </c>
      <c r="E37" s="146">
        <f t="shared" si="15"/>
        <v>9.3333333333333712E-2</v>
      </c>
      <c r="F37" s="146">
        <f t="shared" si="16"/>
        <v>5.600000000000023E-2</v>
      </c>
      <c r="G37" s="261">
        <f t="shared" si="0"/>
        <v>155.05600000000001</v>
      </c>
      <c r="H37" s="4">
        <v>29</v>
      </c>
      <c r="I37" s="16">
        <f t="shared" si="17"/>
        <v>41576</v>
      </c>
      <c r="J37" s="6">
        <v>0.34826388888888887</v>
      </c>
      <c r="K37" s="6">
        <v>0.64236111111111105</v>
      </c>
      <c r="L37" s="5">
        <f>IF(K37&gt;0,ROUND(((K37-J37)*24)-SUM(BR37:BS37)+BT37,2)+IF(Fredagsfrokost="n",IF(WEEKDAY($I37,2)=5,IF(K37&gt;=0.5,IF(K37&lt;=13/24,0,0),0),0),0),IF(AW37&gt;0,AW37,""))</f>
        <v>7.06</v>
      </c>
      <c r="M37" s="141">
        <f t="shared" si="1"/>
        <v>7</v>
      </c>
      <c r="N37" s="141">
        <f t="shared" si="2"/>
        <v>5.9999999999999609E-2</v>
      </c>
      <c r="O37" s="141">
        <f t="shared" si="3"/>
        <v>3.5999999999999761E-2</v>
      </c>
      <c r="P37" s="162">
        <f t="shared" si="4"/>
        <v>7.0359999999999996</v>
      </c>
      <c r="Q37" s="591"/>
      <c r="R37" s="592"/>
      <c r="S37" s="592"/>
      <c r="T37" s="593"/>
      <c r="U37" s="417"/>
      <c r="V37" s="240">
        <f t="shared" si="5"/>
        <v>0</v>
      </c>
      <c r="W37" s="240">
        <f t="shared" si="18"/>
        <v>0</v>
      </c>
      <c r="X37" s="240">
        <f t="shared" si="6"/>
        <v>0</v>
      </c>
      <c r="Y37" s="242">
        <f t="shared" si="19"/>
        <v>0</v>
      </c>
      <c r="Z37" s="417"/>
      <c r="AA37" s="417"/>
      <c r="AB37" s="417"/>
      <c r="AC37" s="417"/>
      <c r="AD37" s="417"/>
      <c r="AE37" s="240">
        <f t="shared" si="7"/>
        <v>0</v>
      </c>
      <c r="AF37" s="240">
        <f t="shared" si="20"/>
        <v>0</v>
      </c>
      <c r="AG37" s="240">
        <f t="shared" si="8"/>
        <v>0</v>
      </c>
      <c r="AH37" s="242">
        <f t="shared" si="21"/>
        <v>0</v>
      </c>
      <c r="AI37" s="417"/>
      <c r="AJ37" s="417"/>
      <c r="AK37" s="417"/>
      <c r="AL37" s="417"/>
      <c r="AM37" s="472"/>
      <c r="AN37" s="240">
        <f t="shared" si="9"/>
        <v>0</v>
      </c>
      <c r="AO37" s="240">
        <f t="shared" si="10"/>
        <v>0</v>
      </c>
      <c r="AP37" s="240">
        <f t="shared" si="11"/>
        <v>0</v>
      </c>
      <c r="AQ37" s="242">
        <f t="shared" si="22"/>
        <v>0</v>
      </c>
      <c r="AR37" s="245"/>
      <c r="AS37" s="245"/>
      <c r="AT37" s="245"/>
      <c r="AU37" s="420"/>
      <c r="AZ37" s="189"/>
      <c r="BA37" s="189"/>
      <c r="BB37" s="189"/>
      <c r="BC37" s="189"/>
      <c r="BD37" s="189"/>
      <c r="BE37" s="189"/>
      <c r="BG37" s="145">
        <f>IF($K37&gt;=0,+SUM(L$9:$L37)-$B37+Okt!$AZ$41+SUM(AQ$9:$AQ37)," ")</f>
        <v>-3.3333333333303017E-3</v>
      </c>
      <c r="BH37" s="144">
        <f t="shared" si="23"/>
        <v>-1</v>
      </c>
      <c r="BI37" s="146">
        <f t="shared" si="24"/>
        <v>0</v>
      </c>
      <c r="BJ37" s="146">
        <f t="shared" si="25"/>
        <v>-3.3333333333303017E-3</v>
      </c>
      <c r="BK37" s="146">
        <f t="shared" si="26"/>
        <v>-1.9999999999981812E-3</v>
      </c>
      <c r="BL37" s="164">
        <f t="shared" si="27"/>
        <v>-1.9999999999981812E-3</v>
      </c>
      <c r="BM37" s="157">
        <f t="shared" si="28"/>
        <v>7.0359999999999996</v>
      </c>
      <c r="BN37">
        <f t="shared" si="12"/>
        <v>2</v>
      </c>
    </row>
    <row r="38" spans="1:66" ht="15.95" customHeight="1" x14ac:dyDescent="0.25">
      <c r="A38" s="83"/>
      <c r="B38" s="84">
        <f>IF($I38&lt;&gt;"",IF(WEEKDAY($I38,2)&lt;6,IF(VLOOKUP(WEEKDAY($I38,2),InputUge,3)&gt;0,IF($A38="",VLOOKUP(WEEKDAY($I38,2),InputUge,3)+MAX(B$8:B37),IF($A38&lt;VLOOKUP(WEEKDAY($I38,2),InputUge,3),$A38+MAX(B$8:B37),VLOOKUP(WEEKDAY($I38,2),InputUge,3)+MAX(B$8:B37))),""),""),"")</f>
        <v>162.16</v>
      </c>
      <c r="C38" s="144">
        <f t="shared" si="13"/>
        <v>1</v>
      </c>
      <c r="D38" s="146">
        <f t="shared" si="14"/>
        <v>162</v>
      </c>
      <c r="E38" s="146">
        <f t="shared" si="15"/>
        <v>0.15999999999999659</v>
      </c>
      <c r="F38" s="146">
        <f t="shared" si="16"/>
        <v>9.5999999999997948E-2</v>
      </c>
      <c r="G38" s="261">
        <f t="shared" si="0"/>
        <v>162.096</v>
      </c>
      <c r="H38" s="4">
        <v>30</v>
      </c>
      <c r="I38" s="16">
        <f t="shared" si="17"/>
        <v>41577</v>
      </c>
      <c r="J38" s="6">
        <v>0.34791666666666665</v>
      </c>
      <c r="K38" s="6">
        <v>0.64236111111111105</v>
      </c>
      <c r="L38" s="5">
        <f>IF(K38&gt;0,ROUND(((K38-J38)*24)-SUM(BR38:BS38)+BT38,2)+IF(Fredagsfrokost="n",IF(WEEKDAY($I38,2)=5,IF(K38&gt;=0.5,IF(K38&lt;=13/24,0,0),0),0),0),IF(AW38&gt;0,AW38,""))</f>
        <v>7.07</v>
      </c>
      <c r="M38" s="141">
        <f t="shared" si="1"/>
        <v>7</v>
      </c>
      <c r="N38" s="141">
        <f t="shared" si="2"/>
        <v>7.0000000000000284E-2</v>
      </c>
      <c r="O38" s="141">
        <f t="shared" si="3"/>
        <v>4.2000000000000169E-2</v>
      </c>
      <c r="P38" s="162">
        <f t="shared" si="4"/>
        <v>7.0419999999999998</v>
      </c>
      <c r="Q38" s="591"/>
      <c r="R38" s="592"/>
      <c r="S38" s="592"/>
      <c r="T38" s="593"/>
      <c r="U38" s="417"/>
      <c r="V38" s="240">
        <f t="shared" si="5"/>
        <v>0</v>
      </c>
      <c r="W38" s="240">
        <f t="shared" si="18"/>
        <v>0</v>
      </c>
      <c r="X38" s="240">
        <f t="shared" si="6"/>
        <v>0</v>
      </c>
      <c r="Y38" s="242">
        <f t="shared" si="19"/>
        <v>0</v>
      </c>
      <c r="Z38" s="417"/>
      <c r="AA38" s="417"/>
      <c r="AB38" s="417"/>
      <c r="AC38" s="417"/>
      <c r="AD38" s="417"/>
      <c r="AE38" s="240">
        <f t="shared" si="7"/>
        <v>0</v>
      </c>
      <c r="AF38" s="240">
        <f t="shared" si="20"/>
        <v>0</v>
      </c>
      <c r="AG38" s="240">
        <f t="shared" si="8"/>
        <v>0</v>
      </c>
      <c r="AH38" s="242">
        <f t="shared" si="21"/>
        <v>0</v>
      </c>
      <c r="AI38" s="417"/>
      <c r="AJ38" s="417"/>
      <c r="AK38" s="417"/>
      <c r="AL38" s="417"/>
      <c r="AM38" s="472"/>
      <c r="AN38" s="240">
        <f t="shared" si="9"/>
        <v>0</v>
      </c>
      <c r="AO38" s="240">
        <f t="shared" si="10"/>
        <v>0</v>
      </c>
      <c r="AP38" s="240">
        <f t="shared" si="11"/>
        <v>0</v>
      </c>
      <c r="AQ38" s="242">
        <f t="shared" si="22"/>
        <v>0</v>
      </c>
      <c r="AR38" s="245"/>
      <c r="AS38" s="245"/>
      <c r="AT38" s="245"/>
      <c r="AU38" s="420"/>
      <c r="AZ38" s="189"/>
      <c r="BA38" s="189"/>
      <c r="BB38" s="189"/>
      <c r="BC38" s="189"/>
      <c r="BD38" s="189"/>
      <c r="BE38" s="189"/>
      <c r="BG38" s="145">
        <f>IF($K38&gt;=0,+SUM(L$9:$L38)-$B38+Okt!$AZ$41+SUM(AQ$9:$AQ38)," ")</f>
        <v>0</v>
      </c>
      <c r="BH38" s="144">
        <f t="shared" si="23"/>
        <v>1</v>
      </c>
      <c r="BI38" s="146">
        <f>FLOOR(BG38,BH38)</f>
        <v>0</v>
      </c>
      <c r="BJ38" s="146">
        <f>+BG38-BI38</f>
        <v>0</v>
      </c>
      <c r="BK38" s="146">
        <f t="shared" si="26"/>
        <v>0</v>
      </c>
      <c r="BL38" s="164">
        <f>IF(BN38=2,+BK38+BI38,"")</f>
        <v>0</v>
      </c>
      <c r="BM38" s="157">
        <f>+P38</f>
        <v>7.0419999999999998</v>
      </c>
      <c r="BN38">
        <f t="shared" si="12"/>
        <v>2</v>
      </c>
    </row>
    <row r="39" spans="1:66" ht="15.95" customHeight="1" thickBot="1" x14ac:dyDescent="0.3">
      <c r="A39" s="85"/>
      <c r="B39" s="84">
        <f>IF($I39&lt;&gt;"",IF(WEEKDAY($I39,2)&lt;6,IF(VLOOKUP(WEEKDAY($I39,2),InputUge,3)&gt;0,IF($A39="",VLOOKUP(WEEKDAY($I39,2),InputUge,3)+MAX(B$8:B38),IF($A39&lt;VLOOKUP(WEEKDAY($I39,2),InputUge,3),$A39+MAX(B$8:B38),VLOOKUP(WEEKDAY($I39,2),InputUge,3)+MAX(B$8:B38))),""),""),"")</f>
        <v>171.57</v>
      </c>
      <c r="C39" s="144">
        <f t="shared" si="13"/>
        <v>1</v>
      </c>
      <c r="D39" s="146">
        <f t="shared" si="14"/>
        <v>171</v>
      </c>
      <c r="E39" s="146">
        <f t="shared" si="15"/>
        <v>0.56999999999999318</v>
      </c>
      <c r="F39" s="146">
        <f t="shared" si="16"/>
        <v>0.34199999999999592</v>
      </c>
      <c r="G39" s="261">
        <f t="shared" si="0"/>
        <v>171.34199999999998</v>
      </c>
      <c r="H39" s="88">
        <v>31</v>
      </c>
      <c r="I39" s="89">
        <f t="shared" si="17"/>
        <v>41578</v>
      </c>
      <c r="J39" s="6">
        <v>0.34791666666666665</v>
      </c>
      <c r="K39" s="6">
        <v>0.73981481481481481</v>
      </c>
      <c r="L39" s="5">
        <f>IF(K39&gt;0,ROUND(((K39-J39)*24)-SUM(BR39:BS39)+BT39,2)+IF(Fredagsfrokost="n",IF(WEEKDAY($I39,2)=5,IF(K39&gt;=0.5,IF(K39&lt;=13/24,0,0),0),0),0),IF(AW39&gt;0,AW39,""))</f>
        <v>9.41</v>
      </c>
      <c r="M39" s="141">
        <f t="shared" si="1"/>
        <v>9</v>
      </c>
      <c r="N39" s="141">
        <f t="shared" si="2"/>
        <v>0.41000000000000014</v>
      </c>
      <c r="O39" s="141">
        <f t="shared" si="3"/>
        <v>0.24600000000000008</v>
      </c>
      <c r="P39" s="162">
        <f t="shared" si="4"/>
        <v>9.2460000000000004</v>
      </c>
      <c r="Q39" s="591"/>
      <c r="R39" s="592"/>
      <c r="S39" s="592"/>
      <c r="T39" s="593"/>
      <c r="U39" s="417"/>
      <c r="V39" s="240">
        <f t="shared" si="5"/>
        <v>0</v>
      </c>
      <c r="W39" s="240">
        <f t="shared" si="18"/>
        <v>0</v>
      </c>
      <c r="X39" s="240">
        <f t="shared" si="6"/>
        <v>0</v>
      </c>
      <c r="Y39" s="242">
        <f>+X40+V40</f>
        <v>0</v>
      </c>
      <c r="Z39" s="417"/>
      <c r="AA39" s="417"/>
      <c r="AB39" s="417"/>
      <c r="AC39" s="417"/>
      <c r="AD39" s="417"/>
      <c r="AE39" s="240">
        <f t="shared" si="7"/>
        <v>0</v>
      </c>
      <c r="AF39" s="240">
        <f t="shared" si="20"/>
        <v>0</v>
      </c>
      <c r="AG39" s="240">
        <f t="shared" si="8"/>
        <v>0</v>
      </c>
      <c r="AH39" s="242">
        <f t="shared" si="21"/>
        <v>0</v>
      </c>
      <c r="AI39" s="417"/>
      <c r="AJ39" s="417"/>
      <c r="AK39" s="417"/>
      <c r="AL39" s="417"/>
      <c r="AM39" s="472"/>
      <c r="AN39" s="240">
        <f>FLOOR(AM39,1)</f>
        <v>0</v>
      </c>
      <c r="AO39" s="240">
        <f t="shared" si="10"/>
        <v>0</v>
      </c>
      <c r="AP39" s="240">
        <f t="shared" si="11"/>
        <v>0</v>
      </c>
      <c r="AQ39" s="242">
        <f t="shared" si="22"/>
        <v>0</v>
      </c>
      <c r="AR39" s="245"/>
      <c r="AS39" s="245"/>
      <c r="AT39" s="245"/>
      <c r="AU39" s="420"/>
      <c r="AZ39" s="189"/>
      <c r="BA39" s="144">
        <f t="shared" ref="BA39:BA44" si="29">IF(AZ39&lt;0,-1,1)</f>
        <v>1</v>
      </c>
      <c r="BB39" s="146">
        <f t="shared" ref="BB39:BB44" si="30">FLOOR(AZ39,BA39)</f>
        <v>0</v>
      </c>
      <c r="BC39" s="189"/>
      <c r="BD39" s="189"/>
      <c r="BE39" s="189"/>
      <c r="BG39" s="145">
        <f>IF($K39&gt;=0,+SUM(L$9:$L39)-$B39+Okt!$AZ$41+SUM(AQ$9:$AQ39)," ")</f>
        <v>0</v>
      </c>
      <c r="BH39" s="144">
        <f t="shared" si="23"/>
        <v>1</v>
      </c>
      <c r="BI39" s="146">
        <f>FLOOR(BG39,BH39)</f>
        <v>0</v>
      </c>
      <c r="BJ39" s="146">
        <f>+BG39-BI39</f>
        <v>0</v>
      </c>
      <c r="BK39" s="146">
        <f t="shared" si="26"/>
        <v>0</v>
      </c>
      <c r="BL39" s="164">
        <f>IF(BN39=2,+BK39+BI39,"")</f>
        <v>0</v>
      </c>
      <c r="BM39" s="157">
        <f>+P39</f>
        <v>9.2460000000000004</v>
      </c>
      <c r="BN39">
        <f t="shared" si="12"/>
        <v>2</v>
      </c>
    </row>
    <row r="40" spans="1:66" ht="15.95" customHeight="1" thickBot="1" x14ac:dyDescent="0.3">
      <c r="B40" s="80">
        <f>MAX($B$8:$B39)</f>
        <v>171.57</v>
      </c>
      <c r="C40" s="80"/>
      <c r="D40" s="80"/>
      <c r="E40" s="80"/>
      <c r="F40" s="80"/>
      <c r="G40" s="279">
        <f>MAX($G$8:$G39)</f>
        <v>171.34199999999998</v>
      </c>
      <c r="H40" s="10" t="s">
        <v>1</v>
      </c>
      <c r="I40" s="14"/>
      <c r="J40" s="612">
        <f>SUM(L40:L40)-SUM(Q41:R41)</f>
        <v>171.57</v>
      </c>
      <c r="K40" s="613"/>
      <c r="L40" s="76">
        <f>SUM(L9:L39)</f>
        <v>171.57</v>
      </c>
      <c r="M40" s="141">
        <f t="shared" si="1"/>
        <v>171</v>
      </c>
      <c r="N40" s="141">
        <f t="shared" si="2"/>
        <v>0.56999999999999318</v>
      </c>
      <c r="O40" s="141">
        <f t="shared" si="3"/>
        <v>0.34199999999999592</v>
      </c>
      <c r="P40" s="276">
        <f>+O40+M40</f>
        <v>171.34199999999998</v>
      </c>
      <c r="Q40" s="629"/>
      <c r="R40" s="630"/>
      <c r="S40" s="631"/>
      <c r="T40" s="632"/>
      <c r="U40" s="433">
        <f>+AC40</f>
        <v>0</v>
      </c>
      <c r="V40" s="433"/>
      <c r="W40" s="433"/>
      <c r="X40" s="433"/>
      <c r="Y40" s="434">
        <f>SUM(Y9:Y39)</f>
        <v>0</v>
      </c>
      <c r="Z40" s="141">
        <f>FLOOR(Y40,1)</f>
        <v>0</v>
      </c>
      <c r="AA40" s="141">
        <f>+Y40-Z40</f>
        <v>0</v>
      </c>
      <c r="AB40" s="141">
        <f>+AA40/100*60</f>
        <v>0</v>
      </c>
      <c r="AC40" s="141">
        <f>+AB40+Z40</f>
        <v>0</v>
      </c>
      <c r="AD40" s="433">
        <f>+AL40</f>
        <v>0</v>
      </c>
      <c r="AE40" s="433"/>
      <c r="AF40" s="433"/>
      <c r="AG40" s="433"/>
      <c r="AH40" s="434">
        <f>SUM(AH9:AH39)</f>
        <v>0</v>
      </c>
      <c r="AI40" s="141">
        <f>FLOOR(AH40,1)</f>
        <v>0</v>
      </c>
      <c r="AJ40" s="141">
        <f>+AH40-AI40</f>
        <v>0</v>
      </c>
      <c r="AK40" s="141">
        <f>+AJ40/100*60</f>
        <v>0</v>
      </c>
      <c r="AL40" s="141">
        <f>+AK40+AI40</f>
        <v>0</v>
      </c>
      <c r="AM40" s="473">
        <f>+AU40</f>
        <v>0</v>
      </c>
      <c r="AN40" s="459"/>
      <c r="AO40" s="434"/>
      <c r="AP40" s="434"/>
      <c r="AQ40" s="434">
        <f>SUM(AQ9:AQ39)</f>
        <v>0</v>
      </c>
      <c r="AR40" s="141">
        <f>FLOOR(AQ40,1)</f>
        <v>0</v>
      </c>
      <c r="AS40" s="141">
        <f>+AQ40-AR40</f>
        <v>0</v>
      </c>
      <c r="AT40" s="141">
        <f>+AS40/100*60</f>
        <v>0</v>
      </c>
      <c r="AU40" s="141">
        <f>+AT40+AR40</f>
        <v>0</v>
      </c>
      <c r="AZ40" s="191"/>
      <c r="BA40" s="144">
        <f t="shared" si="29"/>
        <v>1</v>
      </c>
      <c r="BB40" s="146">
        <f t="shared" si="30"/>
        <v>0</v>
      </c>
      <c r="BC40" s="191"/>
      <c r="BD40" s="191"/>
      <c r="BE40" s="191"/>
      <c r="BG40" s="138"/>
      <c r="BH40" s="143"/>
      <c r="BI40" s="143"/>
      <c r="BJ40" s="143"/>
      <c r="BK40" s="143"/>
      <c r="BL40" s="168"/>
    </row>
    <row r="41" spans="1:66" ht="15.95" customHeight="1" x14ac:dyDescent="0.25">
      <c r="H41" s="623"/>
      <c r="I41" s="623"/>
      <c r="J41" s="624"/>
      <c r="K41" s="624"/>
      <c r="L41" s="624"/>
      <c r="M41" s="123"/>
      <c r="N41" s="123"/>
      <c r="O41" s="123"/>
      <c r="P41" s="265"/>
      <c r="Q41" s="99"/>
      <c r="R41" s="99"/>
      <c r="S41" s="599" t="s">
        <v>10</v>
      </c>
      <c r="T41" s="600"/>
      <c r="U41" s="600"/>
      <c r="V41" s="600"/>
      <c r="W41" s="600"/>
      <c r="X41" s="600"/>
      <c r="Y41" s="600"/>
      <c r="Z41" s="600"/>
      <c r="AA41" s="600"/>
      <c r="AB41" s="600"/>
      <c r="AC41" s="600"/>
      <c r="AD41" s="601"/>
      <c r="AE41" s="601"/>
      <c r="AF41" s="601"/>
      <c r="AG41" s="601"/>
      <c r="AH41" s="601"/>
      <c r="AI41" s="601"/>
      <c r="AJ41" s="601"/>
      <c r="AK41" s="601"/>
      <c r="AL41" s="601"/>
      <c r="AM41" s="601"/>
      <c r="AN41" s="400"/>
      <c r="AO41" s="400"/>
      <c r="AP41" s="400"/>
      <c r="AQ41" s="400"/>
      <c r="AR41" s="400"/>
      <c r="AS41" s="400"/>
      <c r="AT41" s="400"/>
      <c r="AU41" s="400"/>
      <c r="AV41" s="538">
        <f>+Sep!AV43</f>
        <v>0</v>
      </c>
      <c r="AW41" s="538"/>
      <c r="AX41" s="633"/>
      <c r="AZ41" s="190">
        <f>+Sep!AZ43</f>
        <v>0</v>
      </c>
      <c r="BA41" s="144">
        <f t="shared" si="29"/>
        <v>1</v>
      </c>
      <c r="BB41" s="146">
        <f t="shared" si="30"/>
        <v>0</v>
      </c>
      <c r="BC41" s="141">
        <f>+AZ41-BB41</f>
        <v>0</v>
      </c>
      <c r="BD41" s="141">
        <f>+BC41/100*60</f>
        <v>0</v>
      </c>
      <c r="BE41" s="162">
        <f>+BD41+BB41</f>
        <v>0</v>
      </c>
    </row>
    <row r="42" spans="1:66" ht="15.95" customHeight="1" x14ac:dyDescent="0.25">
      <c r="H42" s="94"/>
      <c r="I42" s="94"/>
      <c r="J42" s="94"/>
      <c r="K42" s="94"/>
      <c r="L42" s="100"/>
      <c r="M42" s="100"/>
      <c r="N42" s="100"/>
      <c r="O42" s="100"/>
      <c r="P42" s="100"/>
      <c r="Q42" s="100"/>
      <c r="R42" s="100"/>
      <c r="S42" s="602" t="s">
        <v>11</v>
      </c>
      <c r="T42" s="603"/>
      <c r="U42" s="603"/>
      <c r="V42" s="603"/>
      <c r="W42" s="603"/>
      <c r="X42" s="603"/>
      <c r="Y42" s="603"/>
      <c r="Z42" s="603"/>
      <c r="AA42" s="603"/>
      <c r="AB42" s="603"/>
      <c r="AC42" s="603"/>
      <c r="AD42" s="604"/>
      <c r="AE42" s="604"/>
      <c r="AF42" s="604"/>
      <c r="AG42" s="604"/>
      <c r="AH42" s="604"/>
      <c r="AI42" s="604"/>
      <c r="AJ42" s="604"/>
      <c r="AK42" s="604"/>
      <c r="AL42" s="604"/>
      <c r="AM42" s="604"/>
      <c r="AN42" s="401"/>
      <c r="AO42" s="401"/>
      <c r="AP42" s="401"/>
      <c r="AQ42" s="401"/>
      <c r="AR42" s="401"/>
      <c r="AS42" s="401"/>
      <c r="AT42" s="401"/>
      <c r="AU42" s="401"/>
      <c r="AV42" s="606">
        <f>+BE42</f>
        <v>171.34199999999998</v>
      </c>
      <c r="AW42" s="606"/>
      <c r="AX42" s="607"/>
      <c r="AY42" s="1"/>
      <c r="AZ42" s="190">
        <f>+J40+AQ40</f>
        <v>171.57</v>
      </c>
      <c r="BA42" s="144">
        <f t="shared" si="29"/>
        <v>1</v>
      </c>
      <c r="BB42" s="146">
        <f t="shared" si="30"/>
        <v>171</v>
      </c>
      <c r="BC42" s="141">
        <f>+AZ42-BB42</f>
        <v>0.56999999999999318</v>
      </c>
      <c r="BD42" s="141">
        <f>+BC42/100*60</f>
        <v>0.34199999999999592</v>
      </c>
      <c r="BE42" s="162">
        <f>+BD42+BB42</f>
        <v>171.34199999999998</v>
      </c>
    </row>
    <row r="43" spans="1:66" ht="15.95" customHeight="1" x14ac:dyDescent="0.25">
      <c r="H43" s="611"/>
      <c r="I43" s="611"/>
      <c r="J43" s="611"/>
      <c r="K43" s="611"/>
      <c r="L43" s="611"/>
      <c r="M43" s="611"/>
      <c r="N43" s="611"/>
      <c r="O43" s="611"/>
      <c r="P43" s="611"/>
      <c r="Q43" s="611"/>
      <c r="R43" s="611"/>
      <c r="S43" s="602" t="s">
        <v>12</v>
      </c>
      <c r="T43" s="603"/>
      <c r="U43" s="603"/>
      <c r="V43" s="603"/>
      <c r="W43" s="603"/>
      <c r="X43" s="603"/>
      <c r="Y43" s="603"/>
      <c r="Z43" s="603"/>
      <c r="AA43" s="603"/>
      <c r="AB43" s="603"/>
      <c r="AC43" s="603"/>
      <c r="AD43" s="604"/>
      <c r="AE43" s="604"/>
      <c r="AF43" s="604"/>
      <c r="AG43" s="604"/>
      <c r="AH43" s="604"/>
      <c r="AI43" s="604"/>
      <c r="AJ43" s="604"/>
      <c r="AK43" s="604"/>
      <c r="AL43" s="604"/>
      <c r="AM43" s="604"/>
      <c r="AN43" s="401"/>
      <c r="AO43" s="401"/>
      <c r="AP43" s="401"/>
      <c r="AQ43" s="401"/>
      <c r="AR43" s="401"/>
      <c r="AS43" s="401"/>
      <c r="AT43" s="401"/>
      <c r="AU43" s="401"/>
      <c r="AV43" s="543">
        <f>+BE43</f>
        <v>171.34199999999998</v>
      </c>
      <c r="AW43" s="543"/>
      <c r="AX43" s="544"/>
      <c r="AZ43" s="157">
        <f>+B40</f>
        <v>171.57</v>
      </c>
      <c r="BA43" s="144">
        <f t="shared" si="29"/>
        <v>1</v>
      </c>
      <c r="BB43" s="146">
        <f t="shared" si="30"/>
        <v>171</v>
      </c>
      <c r="BC43" s="141">
        <f>+AZ43-BB43</f>
        <v>0.56999999999999318</v>
      </c>
      <c r="BD43" s="141">
        <f>+BC43/100*60</f>
        <v>0.34199999999999592</v>
      </c>
      <c r="BE43" s="162">
        <f>+BD43+BB43</f>
        <v>171.34199999999998</v>
      </c>
    </row>
    <row r="44" spans="1:66" ht="15.95" customHeight="1" thickBot="1" x14ac:dyDescent="0.3">
      <c r="H44" s="96"/>
      <c r="I44" s="96"/>
      <c r="J44" s="96"/>
      <c r="K44" s="96"/>
      <c r="L44" s="97"/>
      <c r="M44" s="97"/>
      <c r="N44" s="97"/>
      <c r="O44" s="97"/>
      <c r="P44" s="97"/>
      <c r="Q44" s="96"/>
      <c r="R44" s="96"/>
      <c r="S44" s="596" t="s">
        <v>13</v>
      </c>
      <c r="T44" s="597"/>
      <c r="U44" s="597"/>
      <c r="V44" s="597"/>
      <c r="W44" s="597"/>
      <c r="X44" s="597"/>
      <c r="Y44" s="597"/>
      <c r="Z44" s="597"/>
      <c r="AA44" s="597"/>
      <c r="AB44" s="597"/>
      <c r="AC44" s="597"/>
      <c r="AD44" s="598"/>
      <c r="AE44" s="598"/>
      <c r="AF44" s="598"/>
      <c r="AG44" s="598"/>
      <c r="AH44" s="598"/>
      <c r="AI44" s="598"/>
      <c r="AJ44" s="598"/>
      <c r="AK44" s="598"/>
      <c r="AL44" s="598"/>
      <c r="AM44" s="598"/>
      <c r="AN44" s="402"/>
      <c r="AO44" s="402"/>
      <c r="AP44" s="402"/>
      <c r="AQ44" s="402"/>
      <c r="AR44" s="402"/>
      <c r="AS44" s="402"/>
      <c r="AT44" s="402"/>
      <c r="AU44" s="402"/>
      <c r="AV44" s="545">
        <f>+BE44</f>
        <v>0</v>
      </c>
      <c r="AW44" s="545"/>
      <c r="AX44" s="609"/>
      <c r="AZ44" s="157">
        <f>+AZ41+AZ42-AZ43</f>
        <v>0</v>
      </c>
      <c r="BA44" s="144">
        <f t="shared" si="29"/>
        <v>1</v>
      </c>
      <c r="BB44" s="146">
        <f t="shared" si="30"/>
        <v>0</v>
      </c>
      <c r="BC44" s="141">
        <f>+AZ44-BB44</f>
        <v>0</v>
      </c>
      <c r="BD44" s="141">
        <f>+BC44/100*60</f>
        <v>0</v>
      </c>
      <c r="BE44" s="162">
        <f>+BD44+BB44</f>
        <v>0</v>
      </c>
    </row>
    <row r="45" spans="1:66" ht="15.95" hidden="1" customHeight="1" x14ac:dyDescent="0.25">
      <c r="H45" s="96"/>
      <c r="I45" s="96"/>
      <c r="J45" s="96"/>
      <c r="K45" s="96"/>
      <c r="L45" s="96"/>
      <c r="M45" s="96"/>
      <c r="N45" s="96"/>
      <c r="O45" s="96"/>
      <c r="P45" s="95"/>
      <c r="Q45" s="96"/>
      <c r="R45" s="96"/>
      <c r="S45" s="171"/>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2"/>
    </row>
    <row r="46" spans="1:66" ht="15.95" hidden="1" customHeight="1" thickBot="1" x14ac:dyDescent="0.3">
      <c r="S46" s="589" t="s">
        <v>76</v>
      </c>
      <c r="T46" s="590"/>
      <c r="U46" s="590"/>
      <c r="V46" s="590"/>
      <c r="W46" s="590"/>
      <c r="X46" s="590"/>
      <c r="Y46" s="590"/>
      <c r="Z46" s="590"/>
      <c r="AA46" s="590"/>
      <c r="AB46" s="590"/>
      <c r="AC46" s="590"/>
      <c r="AD46" s="590"/>
      <c r="AE46" s="590"/>
      <c r="AF46" s="590"/>
      <c r="AG46" s="590"/>
      <c r="AH46" s="590"/>
      <c r="AI46" s="590"/>
      <c r="AJ46" s="590"/>
      <c r="AK46" s="590"/>
      <c r="AL46" s="590"/>
      <c r="AM46" s="590"/>
      <c r="AN46" s="175"/>
      <c r="AO46" s="175"/>
      <c r="AP46" s="175"/>
      <c r="AQ46" s="175"/>
      <c r="AR46" s="175"/>
      <c r="AS46" s="175"/>
      <c r="AT46" s="175"/>
      <c r="AU46" s="175"/>
      <c r="AV46" s="594">
        <f>+BE46</f>
        <v>0</v>
      </c>
      <c r="AW46" s="594"/>
      <c r="AX46" s="595"/>
      <c r="AZ46" s="157">
        <f>+Y40+AH40+Feb!AZ44</f>
        <v>0</v>
      </c>
      <c r="BA46" s="157"/>
      <c r="BB46" s="141">
        <f>FLOOR(AZ46,1)</f>
        <v>0</v>
      </c>
      <c r="BC46" s="141">
        <f>+AZ46-BB46</f>
        <v>0</v>
      </c>
      <c r="BD46" s="141">
        <f>+BC46/100*60</f>
        <v>0</v>
      </c>
      <c r="BE46" s="162">
        <f>+BD46+BB46</f>
        <v>0</v>
      </c>
    </row>
  </sheetData>
  <sheetProtection sheet="1" objects="1" scenarios="1"/>
  <mergeCells count="59">
    <mergeCell ref="Q37:T37"/>
    <mergeCell ref="Q35:T35"/>
    <mergeCell ref="Q36:T36"/>
    <mergeCell ref="Q33:T33"/>
    <mergeCell ref="Q34:T34"/>
    <mergeCell ref="Q31:T31"/>
    <mergeCell ref="Q32:T32"/>
    <mergeCell ref="Q17:T17"/>
    <mergeCell ref="Q18:T18"/>
    <mergeCell ref="Q23:T23"/>
    <mergeCell ref="Q24:T24"/>
    <mergeCell ref="Q21:T21"/>
    <mergeCell ref="Q22:T22"/>
    <mergeCell ref="Q29:T29"/>
    <mergeCell ref="Q30:T30"/>
    <mergeCell ref="Q19:T19"/>
    <mergeCell ref="Q20:T20"/>
    <mergeCell ref="Q27:T27"/>
    <mergeCell ref="Q28:T28"/>
    <mergeCell ref="Q25:T25"/>
    <mergeCell ref="Q26:T26"/>
    <mergeCell ref="L5:S5"/>
    <mergeCell ref="H5:K5"/>
    <mergeCell ref="AX5:AY5"/>
    <mergeCell ref="U5:AV5"/>
    <mergeCell ref="U6:AD6"/>
    <mergeCell ref="Q13:T13"/>
    <mergeCell ref="Q14:T14"/>
    <mergeCell ref="Q15:T15"/>
    <mergeCell ref="Q16:T16"/>
    <mergeCell ref="Q7:T7"/>
    <mergeCell ref="S46:AM46"/>
    <mergeCell ref="AV46:AX46"/>
    <mergeCell ref="S44:AM44"/>
    <mergeCell ref="Q40:T40"/>
    <mergeCell ref="S41:AM41"/>
    <mergeCell ref="S42:AM42"/>
    <mergeCell ref="S43:AM43"/>
    <mergeCell ref="H43:R43"/>
    <mergeCell ref="AV41:AX41"/>
    <mergeCell ref="AV42:AX42"/>
    <mergeCell ref="AV43:AX43"/>
    <mergeCell ref="H41:L41"/>
    <mergeCell ref="AV44:AX44"/>
    <mergeCell ref="AX3:AY3"/>
    <mergeCell ref="AX4:AY4"/>
    <mergeCell ref="H1:AZ1"/>
    <mergeCell ref="H4:K4"/>
    <mergeCell ref="U3:AV3"/>
    <mergeCell ref="L4:S4"/>
    <mergeCell ref="H3:K3"/>
    <mergeCell ref="L3:S3"/>
    <mergeCell ref="J40:K40"/>
    <mergeCell ref="Q12:T12"/>
    <mergeCell ref="Q9:T9"/>
    <mergeCell ref="Q38:T38"/>
    <mergeCell ref="Q39:T39"/>
    <mergeCell ref="Q11:T11"/>
    <mergeCell ref="Q10:T10"/>
  </mergeCells>
  <phoneticPr fontId="0" type="noConversion"/>
  <conditionalFormatting sqref="H9:H39">
    <cfRule type="expression" dxfId="50" priority="11" stopIfTrue="1">
      <formula>IF(WEEKDAY($I9,2)&gt;5,1,0)</formula>
    </cfRule>
    <cfRule type="expression" dxfId="49" priority="12" stopIfTrue="1">
      <formula>IF($I9=TODAY(),1,0)</formula>
    </cfRule>
  </conditionalFormatting>
  <conditionalFormatting sqref="Q9:T39 BA9:BB38 J9:K10 BC9:BE39 AZ9:AZ39 J20:K21 J27:K28 J34:K35 J37:K38 J13:K14 J39">
    <cfRule type="expression" dxfId="48" priority="13" stopIfTrue="1">
      <formula>IF(WEEKDAY($B9,2)&lt;6,1,0)</formula>
    </cfRule>
  </conditionalFormatting>
  <conditionalFormatting sqref="L9:P14 AE9:AG39 BB39:BB44 V9:X39 Z40:AC40 AI40:AL40 AU13 AN9:AP39 AR40:AU40 BB46:BE46 BC41:BE44 M40:P40 BI9:BK39 L20:P21 L27:P28 L34:P35 L37:P39">
    <cfRule type="cellIs" dxfId="47" priority="14" stopIfTrue="1" operator="lessThan">
      <formula>0</formula>
    </cfRule>
  </conditionalFormatting>
  <conditionalFormatting sqref="B9:B39 G9:G39">
    <cfRule type="expression" dxfId="46" priority="15" stopIfTrue="1">
      <formula>IF(B9=MAX($B$8:B8),1,0)</formula>
    </cfRule>
  </conditionalFormatting>
  <conditionalFormatting sqref="J15:K19">
    <cfRule type="expression" dxfId="45" priority="9" stopIfTrue="1">
      <formula>IF(WEEKDAY($B15,2)&lt;6,1,0)</formula>
    </cfRule>
  </conditionalFormatting>
  <conditionalFormatting sqref="L15:P19">
    <cfRule type="cellIs" dxfId="44" priority="10" stopIfTrue="1" operator="lessThan">
      <formula>0</formula>
    </cfRule>
  </conditionalFormatting>
  <conditionalFormatting sqref="J22:K26">
    <cfRule type="expression" dxfId="43" priority="7" stopIfTrue="1">
      <formula>IF(WEEKDAY($B22,2)&lt;6,1,0)</formula>
    </cfRule>
  </conditionalFormatting>
  <conditionalFormatting sqref="L22:P26">
    <cfRule type="cellIs" dxfId="42" priority="8" stopIfTrue="1" operator="lessThan">
      <formula>0</formula>
    </cfRule>
  </conditionalFormatting>
  <conditionalFormatting sqref="J29:K33">
    <cfRule type="expression" dxfId="41" priority="5" stopIfTrue="1">
      <formula>IF(WEEKDAY($B29,2)&lt;6,1,0)</formula>
    </cfRule>
  </conditionalFormatting>
  <conditionalFormatting sqref="L29:P33">
    <cfRule type="cellIs" dxfId="40" priority="6" stopIfTrue="1" operator="lessThan">
      <formula>0</formula>
    </cfRule>
  </conditionalFormatting>
  <conditionalFormatting sqref="J36:K36">
    <cfRule type="expression" dxfId="39" priority="3" stopIfTrue="1">
      <formula>IF(WEEKDAY($B36,2)&lt;6,1,0)</formula>
    </cfRule>
  </conditionalFormatting>
  <conditionalFormatting sqref="L36:P36">
    <cfRule type="cellIs" dxfId="38" priority="4" stopIfTrue="1" operator="lessThan">
      <formula>0</formula>
    </cfRule>
  </conditionalFormatting>
  <conditionalFormatting sqref="J11:K12">
    <cfRule type="expression" dxfId="37" priority="2" stopIfTrue="1">
      <formula>IF(WEEKDAY($B11,2)&lt;6,1,0)</formula>
    </cfRule>
  </conditionalFormatting>
  <conditionalFormatting sqref="K39">
    <cfRule type="expression" dxfId="36" priority="1" stopIfTrue="1">
      <formula>IF(WEEKDAY($B39,2)&lt;6,1,0)</formula>
    </cfRule>
  </conditionalFormatting>
  <printOptions horizontalCentered="1" verticalCentered="1"/>
  <pageMargins left="0.59055118110236227" right="0.19685039370078741" top="0.19685039370078741" bottom="0.59055118110236227" header="0.51181102362204722" footer="0.51181102362204722"/>
  <pageSetup paperSize="9" scale="110" orientation="portrait" horizontalDpi="3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2"/>
  <dimension ref="A1:BO45"/>
  <sheetViews>
    <sheetView zoomScale="75" workbookViewId="0">
      <pane xSplit="9" ySplit="8" topLeftCell="J9" activePane="bottomRight" state="frozen"/>
      <selection activeCell="U24" sqref="U24"/>
      <selection pane="topRight" activeCell="U24" sqref="U24"/>
      <selection pane="bottomLeft" activeCell="U24" sqref="U24"/>
      <selection pane="bottomRight" activeCell="U29" sqref="U29"/>
    </sheetView>
  </sheetViews>
  <sheetFormatPr defaultRowHeight="15" x14ac:dyDescent="0.25"/>
  <cols>
    <col min="1" max="1" width="7.140625" bestFit="1" customWidth="1"/>
    <col min="2" max="2" width="9.42578125" hidden="1" customWidth="1"/>
    <col min="3" max="3" width="5.28515625" hidden="1" customWidth="1"/>
    <col min="4" max="6" width="9.85546875" hidden="1" customWidth="1"/>
    <col min="7" max="7" width="10" style="258" bestFit="1" customWidth="1"/>
    <col min="8" max="8" width="5.42578125" bestFit="1" customWidth="1"/>
    <col min="9" max="9" width="11.140625" hidden="1" customWidth="1"/>
    <col min="10" max="10" width="7.7109375" bestFit="1" customWidth="1"/>
    <col min="11" max="11" width="7" bestFit="1" customWidth="1"/>
    <col min="12" max="12" width="7.140625" hidden="1" customWidth="1"/>
    <col min="13" max="13" width="7.5703125" hidden="1" customWidth="1"/>
    <col min="14" max="15" width="5.28515625" hidden="1" customWidth="1"/>
    <col min="16" max="16" width="8.7109375" style="266" customWidth="1"/>
    <col min="17" max="19" width="6.28515625" customWidth="1"/>
    <col min="20" max="20" width="8.140625" customWidth="1"/>
    <col min="21" max="21" width="16.28515625" bestFit="1" customWidth="1"/>
    <col min="22" max="29" width="5.28515625" hidden="1" customWidth="1"/>
    <col min="30" max="30" width="15.7109375" customWidth="1"/>
    <col min="31" max="38" width="5.28515625" hidden="1" customWidth="1"/>
    <col min="39" max="39" width="22.85546875" bestFit="1" customWidth="1"/>
    <col min="40" max="47" width="5.28515625" hidden="1" customWidth="1"/>
    <col min="48" max="48" width="6.28515625" hidden="1" customWidth="1"/>
    <col min="49" max="49" width="3.28515625" customWidth="1"/>
    <col min="50" max="50" width="6.28515625" customWidth="1"/>
    <col min="51" max="51" width="12.7109375" customWidth="1"/>
    <col min="52" max="52" width="7.5703125" hidden="1" customWidth="1"/>
    <col min="53" max="53" width="6" hidden="1" customWidth="1"/>
    <col min="54" max="54" width="7.5703125" hidden="1" customWidth="1"/>
    <col min="55" max="56" width="6" hidden="1" customWidth="1"/>
    <col min="57" max="57" width="7.5703125" hidden="1" customWidth="1"/>
    <col min="58" max="58" width="0" hidden="1" customWidth="1"/>
    <col min="59" max="60" width="10" style="134" hidden="1" customWidth="1"/>
    <col min="61" max="63" width="9.85546875" style="134" hidden="1" customWidth="1"/>
    <col min="64" max="64" width="12.140625" style="134" bestFit="1" customWidth="1"/>
    <col min="65" max="65" width="4.5703125" hidden="1" customWidth="1"/>
    <col min="66" max="66" width="2.28515625" hidden="1" customWidth="1"/>
    <col min="67" max="68" width="0" hidden="1" customWidth="1"/>
  </cols>
  <sheetData>
    <row r="1" spans="1:66" ht="18" x14ac:dyDescent="0.25">
      <c r="H1" s="547" t="s">
        <v>114</v>
      </c>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174"/>
      <c r="BB1" s="174"/>
      <c r="BC1" s="174"/>
      <c r="BD1" s="174"/>
      <c r="BE1" s="174"/>
    </row>
    <row r="2" spans="1:66" ht="8.1" customHeight="1" x14ac:dyDescent="0.25">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66" ht="15.95" customHeight="1" x14ac:dyDescent="0.25">
      <c r="H3" s="620" t="s">
        <v>5</v>
      </c>
      <c r="I3" s="621"/>
      <c r="J3" s="621"/>
      <c r="K3" s="622"/>
      <c r="L3" s="555" t="str">
        <f>+Resume!H1</f>
        <v>Lars Larsen</v>
      </c>
      <c r="M3" s="556"/>
      <c r="N3" s="556"/>
      <c r="O3" s="556"/>
      <c r="P3" s="556"/>
      <c r="Q3" s="557"/>
      <c r="R3" s="557"/>
      <c r="S3" s="557"/>
      <c r="T3" s="49"/>
      <c r="U3" s="626" t="s">
        <v>7</v>
      </c>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155"/>
      <c r="AX3" s="558">
        <f>+I9</f>
        <v>41579</v>
      </c>
      <c r="AY3" s="560"/>
      <c r="AZ3" s="183"/>
      <c r="BA3" s="183"/>
      <c r="BB3" s="183"/>
      <c r="BC3" s="183"/>
      <c r="BD3" s="183"/>
      <c r="BE3" s="183"/>
    </row>
    <row r="4" spans="1:66" ht="15.95" customHeight="1" x14ac:dyDescent="0.25">
      <c r="H4" s="625" t="s">
        <v>6</v>
      </c>
      <c r="I4" s="625"/>
      <c r="J4" s="625"/>
      <c r="K4" s="625"/>
      <c r="L4" s="550" t="str">
        <f>+Resume!H2</f>
        <v>010101-0101</v>
      </c>
      <c r="M4" s="551"/>
      <c r="N4" s="551"/>
      <c r="O4" s="551"/>
      <c r="P4" s="551"/>
      <c r="Q4" s="551"/>
      <c r="R4" s="551"/>
      <c r="S4" s="551"/>
      <c r="T4" s="50"/>
      <c r="U4" s="17" t="s">
        <v>8</v>
      </c>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8"/>
      <c r="AW4" s="159"/>
      <c r="AX4" s="561" t="str">
        <f>IF(Resume!I4&lt;&gt;"",Resume!I4,"")</f>
        <v>1 - bagud</v>
      </c>
      <c r="AY4" s="563"/>
      <c r="AZ4" s="184"/>
      <c r="BA4" s="184"/>
      <c r="BB4" s="184"/>
      <c r="BC4" s="184"/>
      <c r="BD4" s="184"/>
      <c r="BE4" s="184"/>
    </row>
    <row r="5" spans="1:66" ht="15.95" customHeight="1" x14ac:dyDescent="0.25">
      <c r="H5" s="620" t="s">
        <v>9</v>
      </c>
      <c r="I5" s="621"/>
      <c r="J5" s="621"/>
      <c r="K5" s="622"/>
      <c r="L5" s="555" t="str">
        <f>+Resume!H3</f>
        <v>SKAT</v>
      </c>
      <c r="M5" s="556"/>
      <c r="N5" s="556"/>
      <c r="O5" s="556"/>
      <c r="P5" s="556"/>
      <c r="Q5" s="557"/>
      <c r="R5" s="557"/>
      <c r="S5" s="557"/>
      <c r="T5" s="49"/>
      <c r="U5" s="617"/>
      <c r="V5" s="618"/>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9"/>
      <c r="AW5" s="156"/>
      <c r="AX5" s="614"/>
      <c r="AY5" s="616"/>
      <c r="AZ5" s="185"/>
      <c r="BA5" s="185"/>
      <c r="BB5" s="185"/>
      <c r="BC5" s="185"/>
      <c r="BD5" s="185"/>
      <c r="BE5" s="185"/>
    </row>
    <row r="6" spans="1:66" ht="53.25" customHeight="1" thickBot="1" x14ac:dyDescent="0.3">
      <c r="H6" s="3"/>
      <c r="I6" s="3"/>
      <c r="J6" s="3"/>
      <c r="K6" s="3"/>
      <c r="L6" s="3"/>
      <c r="M6" s="3"/>
      <c r="N6" s="3"/>
      <c r="O6" s="3"/>
      <c r="P6" s="3"/>
      <c r="Q6" s="3"/>
      <c r="R6" s="3"/>
      <c r="S6" s="3"/>
      <c r="T6" s="3"/>
      <c r="U6" s="678" t="s">
        <v>75</v>
      </c>
      <c r="V6" s="678"/>
      <c r="W6" s="678"/>
      <c r="X6" s="678"/>
      <c r="Y6" s="678"/>
      <c r="Z6" s="678"/>
      <c r="AA6" s="678"/>
      <c r="AB6" s="678"/>
      <c r="AC6" s="678"/>
      <c r="AD6" s="678"/>
      <c r="AE6" s="173"/>
      <c r="AF6" s="173"/>
      <c r="AG6" s="173"/>
      <c r="AH6" s="173"/>
      <c r="AI6" s="173"/>
      <c r="AJ6" s="173"/>
      <c r="AK6" s="173"/>
      <c r="AL6" s="173"/>
      <c r="AM6" s="165" t="s">
        <v>77</v>
      </c>
      <c r="AN6" s="179"/>
      <c r="AO6" s="179"/>
      <c r="AP6" s="179"/>
      <c r="AQ6" s="179"/>
      <c r="AR6" s="179"/>
      <c r="AS6" s="179"/>
      <c r="AT6" s="179"/>
      <c r="AU6" s="179"/>
      <c r="AV6" s="3"/>
      <c r="AW6" s="3"/>
      <c r="AX6" s="3"/>
      <c r="AY6" s="3"/>
      <c r="AZ6" s="101"/>
      <c r="BA6" s="101"/>
      <c r="BB6" s="101"/>
      <c r="BC6" s="101"/>
      <c r="BD6" s="101"/>
      <c r="BE6" s="101"/>
    </row>
    <row r="7" spans="1:66" s="118" customFormat="1" ht="48.75" customHeight="1" thickBot="1" x14ac:dyDescent="0.3">
      <c r="A7" s="112" t="s">
        <v>58</v>
      </c>
      <c r="B7" s="119" t="s">
        <v>18</v>
      </c>
      <c r="C7" s="176"/>
      <c r="D7" s="176"/>
      <c r="E7" s="176"/>
      <c r="F7" s="176"/>
      <c r="G7" s="262" t="s">
        <v>18</v>
      </c>
      <c r="H7" s="114" t="s">
        <v>2</v>
      </c>
      <c r="I7" s="115"/>
      <c r="J7" s="116" t="s">
        <v>3</v>
      </c>
      <c r="K7" s="116" t="s">
        <v>4</v>
      </c>
      <c r="L7" s="117" t="s">
        <v>0</v>
      </c>
      <c r="M7" s="139"/>
      <c r="N7" s="139"/>
      <c r="O7" s="139"/>
      <c r="P7" s="216" t="s">
        <v>69</v>
      </c>
      <c r="Q7" s="586" t="s">
        <v>115</v>
      </c>
      <c r="R7" s="587"/>
      <c r="S7" s="587"/>
      <c r="T7" s="588"/>
      <c r="U7" s="452" t="s">
        <v>116</v>
      </c>
      <c r="V7" s="423"/>
      <c r="W7" s="423"/>
      <c r="X7" s="423"/>
      <c r="Y7" s="423"/>
      <c r="Z7" s="423"/>
      <c r="AA7" s="423"/>
      <c r="AB7" s="423"/>
      <c r="AC7" s="423"/>
      <c r="AD7" s="423" t="s">
        <v>68</v>
      </c>
      <c r="AE7" s="423"/>
      <c r="AF7" s="423"/>
      <c r="AG7" s="423"/>
      <c r="AH7" s="423"/>
      <c r="AI7" s="423"/>
      <c r="AJ7" s="423"/>
      <c r="AK7" s="423"/>
      <c r="AL7" s="423"/>
      <c r="AM7" s="424" t="s">
        <v>91</v>
      </c>
      <c r="AN7" s="425"/>
      <c r="AO7" s="425"/>
      <c r="AP7" s="425"/>
      <c r="AQ7" s="425"/>
      <c r="AR7" s="425"/>
      <c r="AS7" s="425"/>
      <c r="AT7" s="425"/>
      <c r="AU7" s="425"/>
      <c r="BA7" s="186"/>
      <c r="BB7" s="186"/>
      <c r="BC7" s="186"/>
      <c r="BD7" s="186"/>
      <c r="BE7" s="186"/>
      <c r="BG7" s="135" t="s">
        <v>61</v>
      </c>
      <c r="BH7" s="142"/>
      <c r="BI7" s="142"/>
      <c r="BJ7" s="142"/>
      <c r="BK7" s="142"/>
      <c r="BL7" s="163" t="s">
        <v>70</v>
      </c>
    </row>
    <row r="8" spans="1:66" ht="0.95" customHeight="1" x14ac:dyDescent="0.25">
      <c r="A8" s="90"/>
      <c r="B8" s="92"/>
      <c r="C8" s="32"/>
      <c r="D8" s="32"/>
      <c r="E8" s="32"/>
      <c r="F8" s="32"/>
      <c r="G8" s="264"/>
      <c r="H8" s="75"/>
      <c r="I8" s="70"/>
      <c r="J8" s="6">
        <v>0.34791666666666665</v>
      </c>
      <c r="K8" s="6">
        <v>0.73958333333333337</v>
      </c>
      <c r="L8" s="5">
        <f>IF(K8&gt;0,ROUND(((K8-J8)*24)-SUM(BR8:BS8)+BT8,2)+IF(Fredagsfrokost="n",IF(WEEKDAY($I8,2)=5,IF(K8&gt;=0.5,IF(K8&lt;=13/24,0,0),0),0),0),IF(AW8&gt;0,AW8,""))</f>
        <v>9.4</v>
      </c>
      <c r="M8" s="141">
        <f>FLOOR(L8,1)</f>
        <v>9</v>
      </c>
      <c r="N8" s="141">
        <f>+L8-M8</f>
        <v>0.40000000000000036</v>
      </c>
      <c r="O8" s="141">
        <f>+N8/100*60</f>
        <v>0.24000000000000021</v>
      </c>
      <c r="P8" s="162">
        <f>IF(J8="","",O8+M8)</f>
        <v>9.24</v>
      </c>
      <c r="Q8" s="73"/>
      <c r="R8" s="73"/>
      <c r="S8" s="74"/>
      <c r="T8" s="74"/>
      <c r="U8" s="74"/>
      <c r="V8" s="74"/>
      <c r="W8" s="74"/>
      <c r="X8" s="74"/>
      <c r="Y8" s="74"/>
      <c r="Z8" s="74"/>
      <c r="AA8" s="74"/>
      <c r="AB8" s="74"/>
      <c r="AC8" s="74"/>
      <c r="AD8" s="74"/>
      <c r="AE8" s="74"/>
      <c r="AF8" s="74"/>
      <c r="AG8" s="74"/>
      <c r="AH8" s="74"/>
      <c r="AI8" s="74"/>
      <c r="AJ8" s="74"/>
      <c r="AK8" s="74"/>
      <c r="AL8" s="74"/>
      <c r="AM8" s="161"/>
      <c r="AN8" s="161"/>
      <c r="AO8" s="161"/>
      <c r="AP8" s="161"/>
      <c r="AQ8" s="161"/>
      <c r="AR8" s="161"/>
      <c r="AS8" s="161"/>
      <c r="AT8" s="161"/>
      <c r="AU8" s="161"/>
      <c r="BA8" s="187"/>
      <c r="BB8" s="187"/>
      <c r="BC8" s="187"/>
      <c r="BD8" s="187"/>
      <c r="BE8" s="187"/>
      <c r="BG8" s="136"/>
      <c r="BH8" s="143"/>
      <c r="BI8" s="143"/>
      <c r="BJ8" s="143"/>
      <c r="BK8" s="143"/>
      <c r="BL8" s="166"/>
    </row>
    <row r="9" spans="1:66" ht="15.95" customHeight="1" x14ac:dyDescent="0.25">
      <c r="A9" s="83"/>
      <c r="B9" s="79">
        <f>IF($I9&lt;&gt;"",IF(WEEKDAY($I9,2)&lt;6,IF(VLOOKUP(WEEKDAY($I9,2),InputUge,3)&gt;0,IF($A9="",VLOOKUP(WEEKDAY($I9,2),InputUge,3)+MAX(B$8:B8),IF($A9&lt;VLOOKUP(WEEKDAY($I9,2),InputUge,3),$A9+MAX(B$8:B8),VLOOKUP(WEEKDAY($I9,2),InputUge,3)+MAX(B$8:B8))),""),""),"")</f>
        <v>6.4</v>
      </c>
      <c r="C9" s="144">
        <f>IF(B9&lt;0,-1,1)</f>
        <v>1</v>
      </c>
      <c r="D9" s="146">
        <f>FLOOR(B9,C9)</f>
        <v>6</v>
      </c>
      <c r="E9" s="146">
        <f>+B9-D9</f>
        <v>0.40000000000000036</v>
      </c>
      <c r="F9" s="146">
        <f>+E9/100*60</f>
        <v>0.24000000000000021</v>
      </c>
      <c r="G9" s="261">
        <f>+F9+D9</f>
        <v>6.24</v>
      </c>
      <c r="H9" s="4">
        <v>1</v>
      </c>
      <c r="I9" s="16">
        <f>+Okt!I39+1</f>
        <v>41579</v>
      </c>
      <c r="J9" s="6">
        <v>0.34791666666666665</v>
      </c>
      <c r="K9" s="6">
        <v>0.61458333333333337</v>
      </c>
      <c r="L9" s="5">
        <f>IF(K9&gt;0,ROUND(((K9-J9)*24)-SUM(BR9:BS9)+BT9,2)+IF(Fredagsfrokost="n",IF(WEEKDAY($I9,2)=5,IF(K9&gt;=0.5,IF(K9&lt;=13/24,0,0),0),0),0),IF(AW9&gt;0,AW9,""))</f>
        <v>6.4</v>
      </c>
      <c r="M9" s="141">
        <f>FLOOR(L9,1)</f>
        <v>6</v>
      </c>
      <c r="N9" s="141">
        <f>+L9-M9</f>
        <v>0.40000000000000036</v>
      </c>
      <c r="O9" s="141">
        <f>+N9/100*60</f>
        <v>0.24000000000000021</v>
      </c>
      <c r="P9" s="162">
        <f>IF(J9="","",O9+M9)</f>
        <v>6.24</v>
      </c>
      <c r="Q9" s="591"/>
      <c r="R9" s="592"/>
      <c r="S9" s="592"/>
      <c r="T9" s="593"/>
      <c r="U9" s="417"/>
      <c r="V9" s="240">
        <f>FLOOR(U9,1)</f>
        <v>0</v>
      </c>
      <c r="W9" s="240">
        <f>+U9-V9</f>
        <v>0</v>
      </c>
      <c r="X9" s="240">
        <f>+W9/60*100</f>
        <v>0</v>
      </c>
      <c r="Y9" s="242">
        <f>+X9+V9</f>
        <v>0</v>
      </c>
      <c r="Z9" s="418"/>
      <c r="AA9" s="418"/>
      <c r="AB9" s="418"/>
      <c r="AC9" s="418"/>
      <c r="AD9" s="417"/>
      <c r="AE9" s="240">
        <f>FLOOR(AD9,1)</f>
        <v>0</v>
      </c>
      <c r="AF9" s="240">
        <f>+AD9-AE9</f>
        <v>0</v>
      </c>
      <c r="AG9" s="240">
        <f>+AF9/60*100</f>
        <v>0</v>
      </c>
      <c r="AH9" s="242">
        <f>+AG9+AE9</f>
        <v>0</v>
      </c>
      <c r="AI9" s="245"/>
      <c r="AJ9" s="245"/>
      <c r="AK9" s="245"/>
      <c r="AL9" s="419"/>
      <c r="AM9" s="472"/>
      <c r="AN9" s="240">
        <f t="shared" ref="AN9:AN38" si="0">FLOOR(AM9,1)</f>
        <v>0</v>
      </c>
      <c r="AO9" s="240">
        <f t="shared" ref="AO9:AO38" si="1">+AM9-AN9</f>
        <v>0</v>
      </c>
      <c r="AP9" s="240">
        <f t="shared" ref="AP9:AP38" si="2">+AO9/60*100</f>
        <v>0</v>
      </c>
      <c r="AQ9" s="242">
        <f>+AP9+AN9</f>
        <v>0</v>
      </c>
      <c r="AR9" s="245"/>
      <c r="AS9" s="245"/>
      <c r="AT9" s="245"/>
      <c r="AU9" s="419"/>
      <c r="BA9" s="189"/>
      <c r="BB9" s="189"/>
      <c r="BC9" s="189"/>
      <c r="BD9" s="189"/>
      <c r="BE9" s="189"/>
      <c r="BG9" s="145">
        <f>IF($K9&gt;=0,+SUM(L$9:$L9)-$B9+Nov!$AZ$40+SUM(AQ$9:$AQ9)," ")</f>
        <v>0</v>
      </c>
      <c r="BH9" s="144">
        <f>IF(BG9&lt;0,-1,1)</f>
        <v>1</v>
      </c>
      <c r="BI9" s="146">
        <f>FLOOR(BG9,BH9)</f>
        <v>0</v>
      </c>
      <c r="BJ9" s="146">
        <f>+BG9-BI9</f>
        <v>0</v>
      </c>
      <c r="BK9" s="146">
        <f>+BJ9/100*60</f>
        <v>0</v>
      </c>
      <c r="BL9" s="164">
        <f t="shared" ref="BL9:BL37" si="3">IF(BN9=2,+BK9+BI9,"")</f>
        <v>0</v>
      </c>
      <c r="BM9" s="157">
        <f>+P9</f>
        <v>6.24</v>
      </c>
      <c r="BN9">
        <f t="shared" ref="BN9:BN38" si="4">+IF(BM9="",1,2)</f>
        <v>2</v>
      </c>
    </row>
    <row r="10" spans="1:66" ht="15.95" customHeight="1" x14ac:dyDescent="0.25">
      <c r="A10" s="83"/>
      <c r="B10" s="79" t="str">
        <f>IF($I10&lt;&gt;"",IF(WEEKDAY($I10,2)&lt;6,IF(VLOOKUP(WEEKDAY($I10,2),InputUge,3)&gt;0,IF($A10="",VLOOKUP(WEEKDAY($I10,2),InputUge,3)+MAX(B$8:B9),IF($A10&lt;VLOOKUP(WEEKDAY($I10,2),InputUge,3),$A10+MAX(B$8:B9),VLOOKUP(WEEKDAY($I10,2),InputUge,3)+MAX(B$8:B9))),""),""),"")</f>
        <v/>
      </c>
      <c r="C10" s="144">
        <f t="shared" ref="C10:C38" si="5">IF(B10&lt;0,-1,1)</f>
        <v>1</v>
      </c>
      <c r="D10" s="146" t="e">
        <f t="shared" ref="D10:D38" si="6">FLOOR(B10,C10)</f>
        <v>#VALUE!</v>
      </c>
      <c r="E10" s="146" t="e">
        <f t="shared" ref="E10:E38" si="7">+B10-D10</f>
        <v>#VALUE!</v>
      </c>
      <c r="F10" s="146" t="e">
        <f t="shared" ref="F10:F38" si="8">+E10/100*60</f>
        <v>#VALUE!</v>
      </c>
      <c r="G10" s="261"/>
      <c r="H10" s="4">
        <v>2</v>
      </c>
      <c r="I10" s="16">
        <f t="shared" ref="I10:I38" si="9">+I9+1</f>
        <v>41580</v>
      </c>
      <c r="J10" s="6"/>
      <c r="K10" s="6"/>
      <c r="L10" s="5"/>
      <c r="M10" s="141"/>
      <c r="N10" s="141"/>
      <c r="O10" s="141"/>
      <c r="P10" s="162"/>
      <c r="Q10" s="591"/>
      <c r="R10" s="592"/>
      <c r="S10" s="592"/>
      <c r="T10" s="593"/>
      <c r="U10" s="417"/>
      <c r="V10" s="240">
        <f t="shared" ref="V10:V37" si="10">FLOOR(U10,1)</f>
        <v>0</v>
      </c>
      <c r="W10" s="240">
        <f t="shared" ref="W10:W37" si="11">+U10-V10</f>
        <v>0</v>
      </c>
      <c r="X10" s="240">
        <f t="shared" ref="X10:X37" si="12">+W10/60*100</f>
        <v>0</v>
      </c>
      <c r="Y10" s="242">
        <f t="shared" ref="Y10:Y37" si="13">+X10+V10</f>
        <v>0</v>
      </c>
      <c r="Z10" s="418"/>
      <c r="AA10" s="418"/>
      <c r="AB10" s="418"/>
      <c r="AC10" s="418"/>
      <c r="AD10" s="417"/>
      <c r="AE10" s="240">
        <f t="shared" ref="AE10:AE38" si="14">FLOOR(AD10,1)</f>
        <v>0</v>
      </c>
      <c r="AF10" s="240">
        <f t="shared" ref="AF10:AF38" si="15">+AD10-AE10</f>
        <v>0</v>
      </c>
      <c r="AG10" s="240">
        <f t="shared" ref="AG10:AG38" si="16">+AF10/60*100</f>
        <v>0</v>
      </c>
      <c r="AH10" s="242">
        <f t="shared" ref="AH10:AH38" si="17">+AG10+AE10</f>
        <v>0</v>
      </c>
      <c r="AI10" s="245"/>
      <c r="AJ10" s="245"/>
      <c r="AK10" s="245"/>
      <c r="AL10" s="419"/>
      <c r="AM10" s="472"/>
      <c r="AN10" s="240">
        <f t="shared" si="0"/>
        <v>0</v>
      </c>
      <c r="AO10" s="240">
        <f t="shared" si="1"/>
        <v>0</v>
      </c>
      <c r="AP10" s="240">
        <f t="shared" si="2"/>
        <v>0</v>
      </c>
      <c r="AQ10" s="242">
        <f t="shared" ref="AQ10:AQ38" si="18">+AP10+AN10</f>
        <v>0</v>
      </c>
      <c r="AR10" s="245"/>
      <c r="AS10" s="245"/>
      <c r="AT10" s="245"/>
      <c r="AU10" s="419"/>
      <c r="BA10" s="189"/>
      <c r="BB10" s="189"/>
      <c r="BC10" s="189"/>
      <c r="BD10" s="189"/>
      <c r="BE10" s="189"/>
      <c r="BG10" s="145" t="e">
        <f>IF($K10&gt;=0,+SUM(L$9:$L10)-$B10+Nov!$AZ$40+SUM(AQ$9:$AQ10)," ")</f>
        <v>#VALUE!</v>
      </c>
      <c r="BH10" s="144" t="e">
        <f t="shared" ref="BH10:BH38" si="19">IF(BG10&lt;0,-1,1)</f>
        <v>#VALUE!</v>
      </c>
      <c r="BI10" s="146" t="e">
        <f t="shared" ref="BI10:BI38" si="20">FLOOR(BG10,BH10)</f>
        <v>#VALUE!</v>
      </c>
      <c r="BJ10" s="146" t="e">
        <f t="shared" ref="BJ10:BJ38" si="21">+BG10-BI10</f>
        <v>#VALUE!</v>
      </c>
      <c r="BK10" s="146" t="e">
        <f t="shared" ref="BK10:BK38" si="22">+BJ10/100*60</f>
        <v>#VALUE!</v>
      </c>
      <c r="BL10" s="164"/>
      <c r="BM10" s="157">
        <f t="shared" ref="BM10:BM38" si="23">+P10</f>
        <v>0</v>
      </c>
      <c r="BN10">
        <f t="shared" si="4"/>
        <v>2</v>
      </c>
    </row>
    <row r="11" spans="1:66" ht="15.95" customHeight="1" x14ac:dyDescent="0.25">
      <c r="A11" s="83"/>
      <c r="B11" s="79" t="str">
        <f>IF($I11&lt;&gt;"",IF(WEEKDAY($I11,2)&lt;6,IF(VLOOKUP(WEEKDAY($I11,2),InputUge,3)&gt;0,IF($A11="",VLOOKUP(WEEKDAY($I11,2),InputUge,3)+MAX(B$8:B10),IF($A11&lt;VLOOKUP(WEEKDAY($I11,2),InputUge,3),$A11+MAX(B$8:B10),VLOOKUP(WEEKDAY($I11,2),InputUge,3)+MAX(B$8:B10))),""),""),"")</f>
        <v/>
      </c>
      <c r="C11" s="144">
        <f t="shared" si="5"/>
        <v>1</v>
      </c>
      <c r="D11" s="146" t="e">
        <f t="shared" si="6"/>
        <v>#VALUE!</v>
      </c>
      <c r="E11" s="146" t="e">
        <f t="shared" si="7"/>
        <v>#VALUE!</v>
      </c>
      <c r="F11" s="146" t="e">
        <f t="shared" si="8"/>
        <v>#VALUE!</v>
      </c>
      <c r="G11" s="261"/>
      <c r="H11" s="4">
        <v>3</v>
      </c>
      <c r="I11" s="16">
        <f t="shared" si="9"/>
        <v>41581</v>
      </c>
      <c r="J11" s="6"/>
      <c r="K11" s="6"/>
      <c r="L11" s="5"/>
      <c r="M11" s="141">
        <f t="shared" ref="M11:M16" si="24">FLOOR(L11,1)</f>
        <v>0</v>
      </c>
      <c r="N11" s="141">
        <f t="shared" ref="N11:N16" si="25">+L11-M11</f>
        <v>0</v>
      </c>
      <c r="O11" s="141">
        <f t="shared" ref="O11:O16" si="26">+N11/100*60</f>
        <v>0</v>
      </c>
      <c r="P11" s="141" t="str">
        <f t="shared" ref="P11:P16" si="27">IF(J11="","",O11+M11)</f>
        <v/>
      </c>
      <c r="Q11" s="591"/>
      <c r="R11" s="592"/>
      <c r="S11" s="592"/>
      <c r="T11" s="593"/>
      <c r="U11" s="417"/>
      <c r="V11" s="240">
        <f t="shared" si="10"/>
        <v>0</v>
      </c>
      <c r="W11" s="240">
        <f t="shared" si="11"/>
        <v>0</v>
      </c>
      <c r="X11" s="240">
        <f t="shared" si="12"/>
        <v>0</v>
      </c>
      <c r="Y11" s="242">
        <f t="shared" si="13"/>
        <v>0</v>
      </c>
      <c r="Z11" s="417"/>
      <c r="AA11" s="417"/>
      <c r="AB11" s="417"/>
      <c r="AC11" s="417"/>
      <c r="AD11" s="417"/>
      <c r="AE11" s="240">
        <f t="shared" si="14"/>
        <v>0</v>
      </c>
      <c r="AF11" s="240">
        <f t="shared" si="15"/>
        <v>0</v>
      </c>
      <c r="AG11" s="240">
        <f t="shared" si="16"/>
        <v>0</v>
      </c>
      <c r="AH11" s="242">
        <f t="shared" si="17"/>
        <v>0</v>
      </c>
      <c r="AI11" s="245"/>
      <c r="AJ11" s="245"/>
      <c r="AK11" s="245"/>
      <c r="AL11" s="420"/>
      <c r="AM11" s="472"/>
      <c r="AN11" s="240">
        <f t="shared" si="0"/>
        <v>0</v>
      </c>
      <c r="AO11" s="240">
        <f t="shared" si="1"/>
        <v>0</v>
      </c>
      <c r="AP11" s="240">
        <f t="shared" si="2"/>
        <v>0</v>
      </c>
      <c r="AQ11" s="242">
        <f t="shared" si="18"/>
        <v>0</v>
      </c>
      <c r="AR11" s="245"/>
      <c r="AS11" s="245"/>
      <c r="AT11" s="245"/>
      <c r="AU11" s="420"/>
      <c r="BA11" s="189"/>
      <c r="BB11" s="189"/>
      <c r="BC11" s="189"/>
      <c r="BD11" s="189"/>
      <c r="BE11" s="189"/>
      <c r="BG11" s="145" t="e">
        <f>IF($K11&gt;=0,+SUM(L$9:$L11)-$B11+Nov!$AZ$40+SUM(AQ$9:$AQ11)," ")</f>
        <v>#VALUE!</v>
      </c>
      <c r="BH11" s="144" t="e">
        <f t="shared" si="19"/>
        <v>#VALUE!</v>
      </c>
      <c r="BI11" s="146" t="e">
        <f t="shared" si="20"/>
        <v>#VALUE!</v>
      </c>
      <c r="BJ11" s="146" t="e">
        <f t="shared" si="21"/>
        <v>#VALUE!</v>
      </c>
      <c r="BK11" s="146" t="e">
        <f t="shared" si="22"/>
        <v>#VALUE!</v>
      </c>
      <c r="BL11" s="164" t="str">
        <f t="shared" si="3"/>
        <v/>
      </c>
      <c r="BM11" s="157" t="str">
        <f t="shared" si="23"/>
        <v/>
      </c>
      <c r="BN11">
        <f t="shared" si="4"/>
        <v>1</v>
      </c>
    </row>
    <row r="12" spans="1:66" ht="15.95" customHeight="1" x14ac:dyDescent="0.25">
      <c r="A12" s="83"/>
      <c r="B12" s="79">
        <f>IF($I12&lt;&gt;"",IF(WEEKDAY($I12,2)&lt;6,IF(VLOOKUP(WEEKDAY($I12,2),InputUge,3)&gt;0,IF($A12="",VLOOKUP(WEEKDAY($I12,2),InputUge,3)+MAX(B$8:B11),IF($A12&lt;VLOOKUP(WEEKDAY($I12,2),InputUge,3),$A12+MAX(B$8:B11),VLOOKUP(WEEKDAY($I12,2),InputUge,3)+MAX(B$8:B11))),""),""),"")</f>
        <v>13.463333333333335</v>
      </c>
      <c r="C12" s="144">
        <f t="shared" si="5"/>
        <v>1</v>
      </c>
      <c r="D12" s="146">
        <f t="shared" si="6"/>
        <v>13</v>
      </c>
      <c r="E12" s="146">
        <f t="shared" si="7"/>
        <v>0.46333333333333471</v>
      </c>
      <c r="F12" s="146">
        <f t="shared" si="8"/>
        <v>0.2780000000000008</v>
      </c>
      <c r="G12" s="261">
        <f t="shared" ref="G12:G37" si="28">+F12+D12</f>
        <v>13.278</v>
      </c>
      <c r="H12" s="4">
        <v>4</v>
      </c>
      <c r="I12" s="16">
        <f t="shared" si="9"/>
        <v>41582</v>
      </c>
      <c r="J12" s="6">
        <v>0.34826388888888887</v>
      </c>
      <c r="K12" s="6">
        <v>0.64236111111111105</v>
      </c>
      <c r="L12" s="5">
        <f>IF(K12&gt;0,ROUND(((K12-J12)*24)-SUM(BR12:BS12)+BT12,2)+IF(Fredagsfrokost="n",IF(WEEKDAY($I12,2)=5,IF(K12&gt;=0.5,IF(K12&lt;=13/24,0,0),0),0),0),IF(AW12&gt;0,AW12,""))</f>
        <v>7.06</v>
      </c>
      <c r="M12" s="141">
        <f t="shared" si="24"/>
        <v>7</v>
      </c>
      <c r="N12" s="141">
        <f t="shared" si="25"/>
        <v>5.9999999999999609E-2</v>
      </c>
      <c r="O12" s="141">
        <f t="shared" si="26"/>
        <v>3.5999999999999761E-2</v>
      </c>
      <c r="P12" s="162">
        <f t="shared" si="27"/>
        <v>7.0359999999999996</v>
      </c>
      <c r="Q12" s="591"/>
      <c r="R12" s="592"/>
      <c r="S12" s="592"/>
      <c r="T12" s="593"/>
      <c r="U12" s="417"/>
      <c r="V12" s="240">
        <f t="shared" si="10"/>
        <v>0</v>
      </c>
      <c r="W12" s="240">
        <f t="shared" si="11"/>
        <v>0</v>
      </c>
      <c r="X12" s="240">
        <f t="shared" si="12"/>
        <v>0</v>
      </c>
      <c r="Y12" s="242">
        <f t="shared" si="13"/>
        <v>0</v>
      </c>
      <c r="Z12" s="417"/>
      <c r="AA12" s="417"/>
      <c r="AB12" s="417"/>
      <c r="AC12" s="417"/>
      <c r="AD12" s="417"/>
      <c r="AE12" s="240">
        <f t="shared" si="14"/>
        <v>0</v>
      </c>
      <c r="AF12" s="240">
        <f t="shared" si="15"/>
        <v>0</v>
      </c>
      <c r="AG12" s="240">
        <f t="shared" si="16"/>
        <v>0</v>
      </c>
      <c r="AH12" s="242">
        <f t="shared" si="17"/>
        <v>0</v>
      </c>
      <c r="AI12" s="245"/>
      <c r="AJ12" s="245"/>
      <c r="AK12" s="245"/>
      <c r="AL12" s="420"/>
      <c r="AM12" s="472"/>
      <c r="AN12" s="240">
        <f t="shared" si="0"/>
        <v>0</v>
      </c>
      <c r="AO12" s="240">
        <f t="shared" si="1"/>
        <v>0</v>
      </c>
      <c r="AP12" s="240">
        <f t="shared" si="2"/>
        <v>0</v>
      </c>
      <c r="AQ12" s="242">
        <f t="shared" si="18"/>
        <v>0</v>
      </c>
      <c r="AR12" s="245"/>
      <c r="AS12" s="245"/>
      <c r="AT12" s="245"/>
      <c r="AU12" s="420"/>
      <c r="BA12" s="189"/>
      <c r="BB12" s="189"/>
      <c r="BC12" s="189"/>
      <c r="BD12" s="189"/>
      <c r="BE12" s="189"/>
      <c r="BG12" s="145">
        <f>IF($K12&gt;=0,+SUM(L$9:$L12)-$B12+Nov!$AZ$40+SUM(AQ$9:$AQ12)," ")</f>
        <v>-3.3333333333338544E-3</v>
      </c>
      <c r="BH12" s="144">
        <f t="shared" si="19"/>
        <v>-1</v>
      </c>
      <c r="BI12" s="146">
        <f t="shared" si="20"/>
        <v>0</v>
      </c>
      <c r="BJ12" s="146">
        <f t="shared" si="21"/>
        <v>-3.3333333333338544E-3</v>
      </c>
      <c r="BK12" s="146">
        <f t="shared" si="22"/>
        <v>-2.0000000000003127E-3</v>
      </c>
      <c r="BL12" s="164">
        <f t="shared" si="3"/>
        <v>-2.0000000000003127E-3</v>
      </c>
      <c r="BM12" s="157">
        <f t="shared" si="23"/>
        <v>7.0359999999999996</v>
      </c>
      <c r="BN12">
        <f t="shared" si="4"/>
        <v>2</v>
      </c>
    </row>
    <row r="13" spans="1:66" ht="15.95" customHeight="1" x14ac:dyDescent="0.25">
      <c r="A13" s="83"/>
      <c r="B13" s="79">
        <f>IF($I13&lt;&gt;"",IF(WEEKDAY($I13,2)&lt;6,IF(VLOOKUP(WEEKDAY($I13,2),InputUge,3)&gt;0,IF($A13="",VLOOKUP(WEEKDAY($I13,2),InputUge,3)+MAX(B$8:B12),IF($A13&lt;VLOOKUP(WEEKDAY($I13,2),InputUge,3),$A13+MAX(B$8:B12),VLOOKUP(WEEKDAY($I13,2),InputUge,3)+MAX(B$8:B12))),""),""),"")</f>
        <v>20.53</v>
      </c>
      <c r="C13" s="144">
        <f t="shared" si="5"/>
        <v>1</v>
      </c>
      <c r="D13" s="146">
        <f t="shared" si="6"/>
        <v>20</v>
      </c>
      <c r="E13" s="146">
        <f t="shared" si="7"/>
        <v>0.53000000000000114</v>
      </c>
      <c r="F13" s="146">
        <f t="shared" si="8"/>
        <v>0.31800000000000067</v>
      </c>
      <c r="G13" s="261">
        <f t="shared" si="28"/>
        <v>20.318000000000001</v>
      </c>
      <c r="H13" s="4">
        <v>5</v>
      </c>
      <c r="I13" s="16">
        <f t="shared" si="9"/>
        <v>41583</v>
      </c>
      <c r="J13" s="6">
        <v>0.34826388888888887</v>
      </c>
      <c r="K13" s="6">
        <v>0.64265046296296291</v>
      </c>
      <c r="L13" s="5">
        <f>IF(K13&gt;0,ROUND(((K13-J13)*24)-SUM(BR13:BS13)+BT13,2)+IF(Fredagsfrokost="n",IF(WEEKDAY($I13,2)=5,IF(K13&gt;=0.5,IF(K13&lt;=13/24,0,0),0),0),0),IF(AW13&gt;0,AW13,""))</f>
        <v>7.07</v>
      </c>
      <c r="M13" s="141">
        <f t="shared" si="24"/>
        <v>7</v>
      </c>
      <c r="N13" s="141">
        <f t="shared" si="25"/>
        <v>7.0000000000000284E-2</v>
      </c>
      <c r="O13" s="141">
        <f t="shared" si="26"/>
        <v>4.2000000000000169E-2</v>
      </c>
      <c r="P13" s="162">
        <f t="shared" si="27"/>
        <v>7.0419999999999998</v>
      </c>
      <c r="Q13" s="591"/>
      <c r="R13" s="592"/>
      <c r="S13" s="592"/>
      <c r="T13" s="593"/>
      <c r="U13" s="417"/>
      <c r="V13" s="240">
        <f t="shared" si="10"/>
        <v>0</v>
      </c>
      <c r="W13" s="240">
        <f t="shared" si="11"/>
        <v>0</v>
      </c>
      <c r="X13" s="240">
        <f t="shared" si="12"/>
        <v>0</v>
      </c>
      <c r="Y13" s="242">
        <f t="shared" si="13"/>
        <v>0</v>
      </c>
      <c r="Z13" s="417"/>
      <c r="AA13" s="417"/>
      <c r="AB13" s="417"/>
      <c r="AC13" s="417"/>
      <c r="AD13" s="417"/>
      <c r="AE13" s="240">
        <f t="shared" si="14"/>
        <v>0</v>
      </c>
      <c r="AF13" s="240">
        <f t="shared" si="15"/>
        <v>0</v>
      </c>
      <c r="AG13" s="240">
        <f t="shared" si="16"/>
        <v>0</v>
      </c>
      <c r="AH13" s="242">
        <f t="shared" si="17"/>
        <v>0</v>
      </c>
      <c r="AI13" s="245"/>
      <c r="AJ13" s="245"/>
      <c r="AK13" s="245"/>
      <c r="AL13" s="240"/>
      <c r="AM13" s="472"/>
      <c r="AN13" s="240">
        <f t="shared" si="0"/>
        <v>0</v>
      </c>
      <c r="AO13" s="240">
        <f t="shared" si="1"/>
        <v>0</v>
      </c>
      <c r="AP13" s="240">
        <f t="shared" si="2"/>
        <v>0</v>
      </c>
      <c r="AQ13" s="242">
        <f t="shared" si="18"/>
        <v>0</v>
      </c>
      <c r="AR13" s="245"/>
      <c r="AS13" s="245"/>
      <c r="AT13" s="245"/>
      <c r="AU13" s="240"/>
      <c r="BA13" s="189"/>
      <c r="BB13" s="189"/>
      <c r="BC13" s="189"/>
      <c r="BD13" s="189"/>
      <c r="BE13" s="189"/>
      <c r="BG13" s="145">
        <f>IF($K13&gt;=0,+SUM(L$9:$L13)-$B13+Nov!$AZ$40+SUM(AQ$9:$AQ13)," ")</f>
        <v>0</v>
      </c>
      <c r="BH13" s="144">
        <f t="shared" si="19"/>
        <v>1</v>
      </c>
      <c r="BI13" s="146">
        <f t="shared" si="20"/>
        <v>0</v>
      </c>
      <c r="BJ13" s="146">
        <f t="shared" si="21"/>
        <v>0</v>
      </c>
      <c r="BK13" s="146">
        <f t="shared" si="22"/>
        <v>0</v>
      </c>
      <c r="BL13" s="164">
        <f t="shared" si="3"/>
        <v>0</v>
      </c>
      <c r="BM13" s="157">
        <f t="shared" si="23"/>
        <v>7.0419999999999998</v>
      </c>
      <c r="BN13">
        <f t="shared" si="4"/>
        <v>2</v>
      </c>
    </row>
    <row r="14" spans="1:66" ht="15.95" customHeight="1" x14ac:dyDescent="0.25">
      <c r="A14" s="83"/>
      <c r="B14" s="79">
        <f>IF($I14&lt;&gt;"",IF(WEEKDAY($I14,2)&lt;6,IF(VLOOKUP(WEEKDAY($I14,2),InputUge,3)&gt;0,IF($A14="",VLOOKUP(WEEKDAY($I14,2),InputUge,3)+MAX(B$8:B13),IF($A14&lt;VLOOKUP(WEEKDAY($I14,2),InputUge,3),$A14+MAX(B$8:B13),VLOOKUP(WEEKDAY($I14,2),InputUge,3)+MAX(B$8:B13))),""),""),"")</f>
        <v>27.596666666666668</v>
      </c>
      <c r="C14" s="144">
        <f t="shared" si="5"/>
        <v>1</v>
      </c>
      <c r="D14" s="146">
        <f t="shared" si="6"/>
        <v>27</v>
      </c>
      <c r="E14" s="146">
        <f t="shared" si="7"/>
        <v>0.59666666666666757</v>
      </c>
      <c r="F14" s="146">
        <f t="shared" si="8"/>
        <v>0.35800000000000054</v>
      </c>
      <c r="G14" s="261">
        <f t="shared" si="28"/>
        <v>27.358000000000001</v>
      </c>
      <c r="H14" s="4">
        <v>6</v>
      </c>
      <c r="I14" s="16">
        <f t="shared" si="9"/>
        <v>41584</v>
      </c>
      <c r="J14" s="6">
        <v>0.34791666666666665</v>
      </c>
      <c r="K14" s="6">
        <v>0.64236111111111105</v>
      </c>
      <c r="L14" s="5">
        <f>IF(K14&gt;0,ROUND(((K14-J14)*24)-SUM(BR14:BS14)+BT14,2)+IF(Fredagsfrokost="n",IF(WEEKDAY($I14,2)=5,IF(K14&gt;=0.5,IF(K14&lt;=13/24,0,0),0),0),0),IF(AW14&gt;0,AW14,""))</f>
        <v>7.07</v>
      </c>
      <c r="M14" s="141">
        <f t="shared" si="24"/>
        <v>7</v>
      </c>
      <c r="N14" s="141">
        <f t="shared" si="25"/>
        <v>7.0000000000000284E-2</v>
      </c>
      <c r="O14" s="141">
        <f t="shared" si="26"/>
        <v>4.2000000000000169E-2</v>
      </c>
      <c r="P14" s="162">
        <f t="shared" si="27"/>
        <v>7.0419999999999998</v>
      </c>
      <c r="Q14" s="591"/>
      <c r="R14" s="592"/>
      <c r="S14" s="592"/>
      <c r="T14" s="593"/>
      <c r="U14" s="417"/>
      <c r="V14" s="240">
        <f t="shared" si="10"/>
        <v>0</v>
      </c>
      <c r="W14" s="240">
        <f t="shared" si="11"/>
        <v>0</v>
      </c>
      <c r="X14" s="240">
        <f t="shared" si="12"/>
        <v>0</v>
      </c>
      <c r="Y14" s="242">
        <f t="shared" si="13"/>
        <v>0</v>
      </c>
      <c r="Z14" s="417"/>
      <c r="AA14" s="417"/>
      <c r="AB14" s="417"/>
      <c r="AC14" s="417"/>
      <c r="AD14" s="417"/>
      <c r="AE14" s="240">
        <f t="shared" si="14"/>
        <v>0</v>
      </c>
      <c r="AF14" s="240">
        <f t="shared" si="15"/>
        <v>0</v>
      </c>
      <c r="AG14" s="240">
        <f t="shared" si="16"/>
        <v>0</v>
      </c>
      <c r="AH14" s="242">
        <f t="shared" si="17"/>
        <v>0</v>
      </c>
      <c r="AI14" s="245"/>
      <c r="AJ14" s="245"/>
      <c r="AK14" s="245"/>
      <c r="AL14" s="420"/>
      <c r="AM14" s="472"/>
      <c r="AN14" s="240">
        <f t="shared" si="0"/>
        <v>0</v>
      </c>
      <c r="AO14" s="240">
        <f t="shared" si="1"/>
        <v>0</v>
      </c>
      <c r="AP14" s="240">
        <f t="shared" si="2"/>
        <v>0</v>
      </c>
      <c r="AQ14" s="242">
        <f t="shared" si="18"/>
        <v>0</v>
      </c>
      <c r="AR14" s="245"/>
      <c r="AS14" s="245"/>
      <c r="AT14" s="245"/>
      <c r="AU14" s="420"/>
      <c r="BA14" s="189"/>
      <c r="BB14" s="189"/>
      <c r="BC14" s="189"/>
      <c r="BD14" s="189"/>
      <c r="BE14" s="189"/>
      <c r="BG14" s="145">
        <f>IF($K14&gt;=0,+SUM(L$9:$L14)-$B14+Nov!$AZ$40+SUM(AQ$9:$AQ14)," ")</f>
        <v>3.3333333333338544E-3</v>
      </c>
      <c r="BH14" s="144">
        <f t="shared" si="19"/>
        <v>1</v>
      </c>
      <c r="BI14" s="146">
        <f t="shared" si="20"/>
        <v>0</v>
      </c>
      <c r="BJ14" s="146">
        <f t="shared" si="21"/>
        <v>3.3333333333338544E-3</v>
      </c>
      <c r="BK14" s="146">
        <f t="shared" si="22"/>
        <v>2.0000000000003127E-3</v>
      </c>
      <c r="BL14" s="164">
        <f t="shared" si="3"/>
        <v>2.0000000000003127E-3</v>
      </c>
      <c r="BM14" s="157">
        <f t="shared" si="23"/>
        <v>7.0419999999999998</v>
      </c>
      <c r="BN14">
        <f t="shared" si="4"/>
        <v>2</v>
      </c>
    </row>
    <row r="15" spans="1:66" ht="15.95" customHeight="1" x14ac:dyDescent="0.25">
      <c r="A15" s="83"/>
      <c r="B15" s="79">
        <f>IF($I15&lt;&gt;"",IF(WEEKDAY($I15,2)&lt;6,IF(VLOOKUP(WEEKDAY($I15,2),InputUge,3)&gt;0,IF($A15="",VLOOKUP(WEEKDAY($I15,2),InputUge,3)+MAX(B$8:B14),IF($A15&lt;VLOOKUP(WEEKDAY($I15,2),InputUge,3),$A15+MAX(B$8:B14),VLOOKUP(WEEKDAY($I15,2),InputUge,3)+MAX(B$8:B14))),""),""),"")</f>
        <v>37.006666666666668</v>
      </c>
      <c r="C15" s="144">
        <f t="shared" si="5"/>
        <v>1</v>
      </c>
      <c r="D15" s="146">
        <f t="shared" si="6"/>
        <v>37</v>
      </c>
      <c r="E15" s="146">
        <f t="shared" si="7"/>
        <v>6.6666666666677088E-3</v>
      </c>
      <c r="F15" s="146">
        <f t="shared" si="8"/>
        <v>4.0000000000006255E-3</v>
      </c>
      <c r="G15" s="261">
        <f t="shared" si="28"/>
        <v>37.003999999999998</v>
      </c>
      <c r="H15" s="4">
        <v>7</v>
      </c>
      <c r="I15" s="16">
        <f t="shared" si="9"/>
        <v>41585</v>
      </c>
      <c r="J15" s="6">
        <v>0.34791666666666665</v>
      </c>
      <c r="K15" s="6">
        <v>0.73987268518518512</v>
      </c>
      <c r="L15" s="5">
        <f>IF(K15&gt;0,ROUND(((K15-J15)*24)-SUM(BR15:BS15)+BT15,2)+IF(Fredagsfrokost="n",IF(WEEKDAY($I15,2)=5,IF(K15&gt;=0.5,IF(K15&lt;=13/24,0,0),0),0),0),IF(AW15&gt;0,AW15,""))</f>
        <v>9.41</v>
      </c>
      <c r="M15" s="141">
        <f t="shared" si="24"/>
        <v>9</v>
      </c>
      <c r="N15" s="141">
        <f t="shared" si="25"/>
        <v>0.41000000000000014</v>
      </c>
      <c r="O15" s="141">
        <f t="shared" si="26"/>
        <v>0.24600000000000008</v>
      </c>
      <c r="P15" s="162">
        <f t="shared" si="27"/>
        <v>9.2460000000000004</v>
      </c>
      <c r="Q15" s="591"/>
      <c r="R15" s="592"/>
      <c r="S15" s="592"/>
      <c r="T15" s="593"/>
      <c r="U15" s="417"/>
      <c r="V15" s="240">
        <f t="shared" si="10"/>
        <v>0</v>
      </c>
      <c r="W15" s="240">
        <f t="shared" si="11"/>
        <v>0</v>
      </c>
      <c r="X15" s="240">
        <f t="shared" si="12"/>
        <v>0</v>
      </c>
      <c r="Y15" s="242">
        <f t="shared" si="13"/>
        <v>0</v>
      </c>
      <c r="Z15" s="417"/>
      <c r="AA15" s="417"/>
      <c r="AB15" s="417"/>
      <c r="AC15" s="417"/>
      <c r="AD15" s="417"/>
      <c r="AE15" s="240">
        <f t="shared" si="14"/>
        <v>0</v>
      </c>
      <c r="AF15" s="240">
        <f t="shared" si="15"/>
        <v>0</v>
      </c>
      <c r="AG15" s="240">
        <f t="shared" si="16"/>
        <v>0</v>
      </c>
      <c r="AH15" s="242">
        <f t="shared" si="17"/>
        <v>0</v>
      </c>
      <c r="AI15" s="245"/>
      <c r="AJ15" s="245"/>
      <c r="AK15" s="245"/>
      <c r="AL15" s="420"/>
      <c r="AM15" s="472"/>
      <c r="AN15" s="240">
        <f t="shared" si="0"/>
        <v>0</v>
      </c>
      <c r="AO15" s="240">
        <f t="shared" si="1"/>
        <v>0</v>
      </c>
      <c r="AP15" s="240">
        <f t="shared" si="2"/>
        <v>0</v>
      </c>
      <c r="AQ15" s="242">
        <f t="shared" si="18"/>
        <v>0</v>
      </c>
      <c r="AR15" s="245"/>
      <c r="AS15" s="245"/>
      <c r="AT15" s="245"/>
      <c r="AU15" s="420"/>
      <c r="BA15" s="189"/>
      <c r="BB15" s="189"/>
      <c r="BC15" s="189"/>
      <c r="BD15" s="189"/>
      <c r="BE15" s="189"/>
      <c r="BG15" s="145">
        <f>IF($K15&gt;=0,+SUM(L$9:$L15)-$B15+Nov!$AZ$40+SUM(AQ$9:$AQ15)," ")</f>
        <v>3.3333333333374071E-3</v>
      </c>
      <c r="BH15" s="144">
        <f t="shared" si="19"/>
        <v>1</v>
      </c>
      <c r="BI15" s="146">
        <f>FLOOR(BG15,BH15)</f>
        <v>0</v>
      </c>
      <c r="BJ15" s="146">
        <f>+BG15-BI15</f>
        <v>3.3333333333374071E-3</v>
      </c>
      <c r="BK15" s="146">
        <f t="shared" si="22"/>
        <v>2.0000000000024443E-3</v>
      </c>
      <c r="BL15" s="164">
        <f>IF(BN15=2,+BK15+BI15,"")</f>
        <v>2.0000000000024443E-3</v>
      </c>
      <c r="BM15" s="157">
        <f>+P15</f>
        <v>9.2460000000000004</v>
      </c>
      <c r="BN15">
        <f t="shared" si="4"/>
        <v>2</v>
      </c>
    </row>
    <row r="16" spans="1:66" ht="15.95" customHeight="1" x14ac:dyDescent="0.25">
      <c r="A16" s="83"/>
      <c r="B16" s="79">
        <f>IF($I16&lt;&gt;"",IF(WEEKDAY($I16,2)&lt;6,IF(VLOOKUP(WEEKDAY($I16,2),InputUge,3)&gt;0,IF($A16="",VLOOKUP(WEEKDAY($I16,2),InputUge,3)+MAX(B$8:B15),IF($A16&lt;VLOOKUP(WEEKDAY($I16,2),InputUge,3),$A16+MAX(B$8:B15),VLOOKUP(WEEKDAY($I16,2),InputUge,3)+MAX(B$8:B15))),""),""),"")</f>
        <v>43.406666666666666</v>
      </c>
      <c r="C16" s="144">
        <f t="shared" si="5"/>
        <v>1</v>
      </c>
      <c r="D16" s="146">
        <f t="shared" si="6"/>
        <v>43</v>
      </c>
      <c r="E16" s="146">
        <f t="shared" si="7"/>
        <v>0.40666666666666629</v>
      </c>
      <c r="F16" s="146">
        <f t="shared" si="8"/>
        <v>0.24399999999999977</v>
      </c>
      <c r="G16" s="261">
        <f t="shared" si="28"/>
        <v>43.244</v>
      </c>
      <c r="H16" s="4">
        <v>8</v>
      </c>
      <c r="I16" s="16">
        <f t="shared" si="9"/>
        <v>41586</v>
      </c>
      <c r="J16" s="6">
        <v>0.34791666666666665</v>
      </c>
      <c r="K16" s="6">
        <v>0.61458333333333337</v>
      </c>
      <c r="L16" s="5">
        <f>IF(K16&gt;0,ROUND(((K16-J16)*24)-SUM(BR16:BS16)+BT16,2)+IF(Fredagsfrokost="n",IF(WEEKDAY($I16,2)=5,IF(K16&gt;=0.5,IF(K16&lt;=13/24,0,0),0),0),0),IF(AW16&gt;0,AW16,""))</f>
        <v>6.4</v>
      </c>
      <c r="M16" s="141">
        <f t="shared" si="24"/>
        <v>6</v>
      </c>
      <c r="N16" s="141">
        <f t="shared" si="25"/>
        <v>0.40000000000000036</v>
      </c>
      <c r="O16" s="141">
        <f t="shared" si="26"/>
        <v>0.24000000000000021</v>
      </c>
      <c r="P16" s="162">
        <f t="shared" si="27"/>
        <v>6.24</v>
      </c>
      <c r="Q16" s="591"/>
      <c r="R16" s="592"/>
      <c r="S16" s="592"/>
      <c r="T16" s="593"/>
      <c r="U16" s="417"/>
      <c r="V16" s="240">
        <f t="shared" si="10"/>
        <v>0</v>
      </c>
      <c r="W16" s="240">
        <f t="shared" si="11"/>
        <v>0</v>
      </c>
      <c r="X16" s="240">
        <f t="shared" si="12"/>
        <v>0</v>
      </c>
      <c r="Y16" s="242">
        <f t="shared" si="13"/>
        <v>0</v>
      </c>
      <c r="Z16" s="417"/>
      <c r="AA16" s="417"/>
      <c r="AB16" s="417"/>
      <c r="AC16" s="417"/>
      <c r="AD16" s="417"/>
      <c r="AE16" s="240">
        <f t="shared" si="14"/>
        <v>0</v>
      </c>
      <c r="AF16" s="240">
        <f t="shared" si="15"/>
        <v>0</v>
      </c>
      <c r="AG16" s="240">
        <f t="shared" si="16"/>
        <v>0</v>
      </c>
      <c r="AH16" s="242">
        <f t="shared" si="17"/>
        <v>0</v>
      </c>
      <c r="AI16" s="245"/>
      <c r="AJ16" s="245"/>
      <c r="AK16" s="245"/>
      <c r="AL16" s="420"/>
      <c r="AM16" s="472"/>
      <c r="AN16" s="240">
        <f t="shared" si="0"/>
        <v>0</v>
      </c>
      <c r="AO16" s="240">
        <f t="shared" si="1"/>
        <v>0</v>
      </c>
      <c r="AP16" s="240">
        <f t="shared" si="2"/>
        <v>0</v>
      </c>
      <c r="AQ16" s="242">
        <f t="shared" si="18"/>
        <v>0</v>
      </c>
      <c r="AR16" s="245"/>
      <c r="AS16" s="245"/>
      <c r="AT16" s="245"/>
      <c r="AU16" s="420"/>
      <c r="BA16" s="189"/>
      <c r="BB16" s="189"/>
      <c r="BC16" s="189"/>
      <c r="BD16" s="189"/>
      <c r="BE16" s="189"/>
      <c r="BG16" s="145">
        <f>IF($K16&gt;=0,+SUM(L$9:$L16)-$B16+Nov!$AZ$40+SUM(AQ$9:$AQ16)," ")</f>
        <v>3.3333333333374071E-3</v>
      </c>
      <c r="BH16" s="144">
        <f t="shared" si="19"/>
        <v>1</v>
      </c>
      <c r="BI16" s="146">
        <f t="shared" si="20"/>
        <v>0</v>
      </c>
      <c r="BJ16" s="146">
        <f t="shared" si="21"/>
        <v>3.3333333333374071E-3</v>
      </c>
      <c r="BK16" s="146">
        <f t="shared" si="22"/>
        <v>2.0000000000024443E-3</v>
      </c>
      <c r="BL16" s="164">
        <f t="shared" si="3"/>
        <v>2.0000000000024443E-3</v>
      </c>
      <c r="BM16" s="157">
        <f t="shared" si="23"/>
        <v>6.24</v>
      </c>
      <c r="BN16">
        <f t="shared" si="4"/>
        <v>2</v>
      </c>
    </row>
    <row r="17" spans="1:66" ht="15.95" customHeight="1" x14ac:dyDescent="0.25">
      <c r="A17" s="83"/>
      <c r="B17" s="79" t="str">
        <f>IF($I17&lt;&gt;"",IF(WEEKDAY($I17,2)&lt;6,IF(VLOOKUP(WEEKDAY($I17,2),InputUge,3)&gt;0,IF($A17="",VLOOKUP(WEEKDAY($I17,2),InputUge,3)+MAX(B$8:B16),IF($A17&lt;VLOOKUP(WEEKDAY($I17,2),InputUge,3),$A17+MAX(B$8:B16),VLOOKUP(WEEKDAY($I17,2),InputUge,3)+MAX(B$8:B16))),""),""),"")</f>
        <v/>
      </c>
      <c r="C17" s="144">
        <f t="shared" si="5"/>
        <v>1</v>
      </c>
      <c r="D17" s="146" t="e">
        <f t="shared" si="6"/>
        <v>#VALUE!</v>
      </c>
      <c r="E17" s="146" t="e">
        <f t="shared" si="7"/>
        <v>#VALUE!</v>
      </c>
      <c r="F17" s="146" t="e">
        <f t="shared" si="8"/>
        <v>#VALUE!</v>
      </c>
      <c r="G17" s="261"/>
      <c r="H17" s="4">
        <v>9</v>
      </c>
      <c r="I17" s="16">
        <f t="shared" si="9"/>
        <v>41587</v>
      </c>
      <c r="J17" s="6"/>
      <c r="K17" s="6"/>
      <c r="L17" s="5"/>
      <c r="M17" s="141"/>
      <c r="N17" s="141"/>
      <c r="O17" s="141"/>
      <c r="P17" s="162"/>
      <c r="Q17" s="591"/>
      <c r="R17" s="592"/>
      <c r="S17" s="592"/>
      <c r="T17" s="593"/>
      <c r="U17" s="417"/>
      <c r="V17" s="240">
        <f t="shared" si="10"/>
        <v>0</v>
      </c>
      <c r="W17" s="240">
        <f t="shared" si="11"/>
        <v>0</v>
      </c>
      <c r="X17" s="240">
        <f t="shared" si="12"/>
        <v>0</v>
      </c>
      <c r="Y17" s="242">
        <f t="shared" si="13"/>
        <v>0</v>
      </c>
      <c r="Z17" s="417"/>
      <c r="AA17" s="417"/>
      <c r="AB17" s="417"/>
      <c r="AC17" s="417"/>
      <c r="AD17" s="417"/>
      <c r="AE17" s="240">
        <f t="shared" si="14"/>
        <v>0</v>
      </c>
      <c r="AF17" s="240">
        <f t="shared" si="15"/>
        <v>0</v>
      </c>
      <c r="AG17" s="240">
        <f t="shared" si="16"/>
        <v>0</v>
      </c>
      <c r="AH17" s="242">
        <f t="shared" si="17"/>
        <v>0</v>
      </c>
      <c r="AI17" s="245"/>
      <c r="AJ17" s="245"/>
      <c r="AK17" s="245"/>
      <c r="AL17" s="420"/>
      <c r="AM17" s="472"/>
      <c r="AN17" s="240">
        <f t="shared" si="0"/>
        <v>0</v>
      </c>
      <c r="AO17" s="240">
        <f t="shared" si="1"/>
        <v>0</v>
      </c>
      <c r="AP17" s="240">
        <f t="shared" si="2"/>
        <v>0</v>
      </c>
      <c r="AQ17" s="242">
        <f t="shared" si="18"/>
        <v>0</v>
      </c>
      <c r="AR17" s="245"/>
      <c r="AS17" s="245"/>
      <c r="AT17" s="245"/>
      <c r="AU17" s="420"/>
      <c r="BA17" s="189"/>
      <c r="BB17" s="189"/>
      <c r="BC17" s="189"/>
      <c r="BD17" s="189"/>
      <c r="BE17" s="189"/>
      <c r="BG17" s="145" t="e">
        <f>IF($K17&gt;=0,+SUM(L$9:$L17)-$B17+Nov!$AZ$40+SUM(AQ$9:$AQ17)," ")</f>
        <v>#VALUE!</v>
      </c>
      <c r="BH17" s="144" t="e">
        <f t="shared" si="19"/>
        <v>#VALUE!</v>
      </c>
      <c r="BI17" s="146" t="e">
        <f t="shared" si="20"/>
        <v>#VALUE!</v>
      </c>
      <c r="BJ17" s="146" t="e">
        <f t="shared" si="21"/>
        <v>#VALUE!</v>
      </c>
      <c r="BK17" s="146" t="e">
        <f t="shared" si="22"/>
        <v>#VALUE!</v>
      </c>
      <c r="BL17" s="164"/>
      <c r="BM17" s="157">
        <f t="shared" si="23"/>
        <v>0</v>
      </c>
      <c r="BN17">
        <f t="shared" si="4"/>
        <v>2</v>
      </c>
    </row>
    <row r="18" spans="1:66" ht="15.95" customHeight="1" x14ac:dyDescent="0.25">
      <c r="A18" s="83"/>
      <c r="B18" s="79" t="str">
        <f>IF($I18&lt;&gt;"",IF(WEEKDAY($I18,2)&lt;6,IF(VLOOKUP(WEEKDAY($I18,2),InputUge,3)&gt;0,IF($A18="",VLOOKUP(WEEKDAY($I18,2),InputUge,3)+MAX(B$8:B17),IF($A18&lt;VLOOKUP(WEEKDAY($I18,2),InputUge,3),$A18+MAX(B$8:B17),VLOOKUP(WEEKDAY($I18,2),InputUge,3)+MAX(B$8:B17))),""),""),"")</f>
        <v/>
      </c>
      <c r="C18" s="144">
        <f t="shared" si="5"/>
        <v>1</v>
      </c>
      <c r="D18" s="146" t="e">
        <f t="shared" si="6"/>
        <v>#VALUE!</v>
      </c>
      <c r="E18" s="146" t="e">
        <f t="shared" si="7"/>
        <v>#VALUE!</v>
      </c>
      <c r="F18" s="146" t="e">
        <f t="shared" si="8"/>
        <v>#VALUE!</v>
      </c>
      <c r="G18" s="261"/>
      <c r="H18" s="4">
        <v>10</v>
      </c>
      <c r="I18" s="16">
        <f t="shared" si="9"/>
        <v>41588</v>
      </c>
      <c r="J18" s="6"/>
      <c r="K18" s="6"/>
      <c r="L18" s="5"/>
      <c r="M18" s="141">
        <f t="shared" ref="M18:M23" si="29">FLOOR(L18,1)</f>
        <v>0</v>
      </c>
      <c r="N18" s="141">
        <f t="shared" ref="N18:N23" si="30">+L18-M18</f>
        <v>0</v>
      </c>
      <c r="O18" s="141">
        <f t="shared" ref="O18:O23" si="31">+N18/100*60</f>
        <v>0</v>
      </c>
      <c r="P18" s="141" t="str">
        <f t="shared" ref="P18:P23" si="32">IF(J18="","",O18+M18)</f>
        <v/>
      </c>
      <c r="Q18" s="591"/>
      <c r="R18" s="592"/>
      <c r="S18" s="592"/>
      <c r="T18" s="593"/>
      <c r="U18" s="417"/>
      <c r="V18" s="240">
        <f t="shared" si="10"/>
        <v>0</v>
      </c>
      <c r="W18" s="240">
        <f t="shared" si="11"/>
        <v>0</v>
      </c>
      <c r="X18" s="240">
        <f t="shared" si="12"/>
        <v>0</v>
      </c>
      <c r="Y18" s="242">
        <f t="shared" si="13"/>
        <v>0</v>
      </c>
      <c r="Z18" s="417"/>
      <c r="AA18" s="417"/>
      <c r="AB18" s="417"/>
      <c r="AC18" s="417"/>
      <c r="AD18" s="417"/>
      <c r="AE18" s="240">
        <f t="shared" si="14"/>
        <v>0</v>
      </c>
      <c r="AF18" s="240">
        <f t="shared" si="15"/>
        <v>0</v>
      </c>
      <c r="AG18" s="240">
        <f t="shared" si="16"/>
        <v>0</v>
      </c>
      <c r="AH18" s="242">
        <f t="shared" si="17"/>
        <v>0</v>
      </c>
      <c r="AI18" s="245"/>
      <c r="AJ18" s="245"/>
      <c r="AK18" s="245"/>
      <c r="AL18" s="420"/>
      <c r="AM18" s="472"/>
      <c r="AN18" s="240">
        <f t="shared" si="0"/>
        <v>0</v>
      </c>
      <c r="AO18" s="240">
        <f t="shared" si="1"/>
        <v>0</v>
      </c>
      <c r="AP18" s="240">
        <f t="shared" si="2"/>
        <v>0</v>
      </c>
      <c r="AQ18" s="242">
        <f t="shared" si="18"/>
        <v>0</v>
      </c>
      <c r="AR18" s="245"/>
      <c r="AS18" s="245"/>
      <c r="AT18" s="245"/>
      <c r="AU18" s="420"/>
      <c r="BA18" s="189"/>
      <c r="BB18" s="189"/>
      <c r="BC18" s="189"/>
      <c r="BD18" s="189"/>
      <c r="BE18" s="189"/>
      <c r="BG18" s="145" t="e">
        <f>IF($K18&gt;=0,+SUM(L$9:$L18)-$B18+Nov!$AZ$40+SUM(AQ$9:$AQ18)," ")</f>
        <v>#VALUE!</v>
      </c>
      <c r="BH18" s="144" t="e">
        <f t="shared" si="19"/>
        <v>#VALUE!</v>
      </c>
      <c r="BI18" s="146" t="e">
        <f t="shared" si="20"/>
        <v>#VALUE!</v>
      </c>
      <c r="BJ18" s="146" t="e">
        <f t="shared" si="21"/>
        <v>#VALUE!</v>
      </c>
      <c r="BK18" s="146" t="e">
        <f t="shared" si="22"/>
        <v>#VALUE!</v>
      </c>
      <c r="BL18" s="164" t="str">
        <f t="shared" si="3"/>
        <v/>
      </c>
      <c r="BM18" s="157" t="str">
        <f t="shared" si="23"/>
        <v/>
      </c>
      <c r="BN18">
        <f t="shared" si="4"/>
        <v>1</v>
      </c>
    </row>
    <row r="19" spans="1:66" ht="15.95" customHeight="1" x14ac:dyDescent="0.25">
      <c r="A19" s="83"/>
      <c r="B19" s="79">
        <f>IF($I19&lt;&gt;"",IF(WEEKDAY($I19,2)&lt;6,IF(VLOOKUP(WEEKDAY($I19,2),InputUge,3)&gt;0,IF($A19="",VLOOKUP(WEEKDAY($I19,2),InputUge,3)+MAX(B$8:B18),IF($A19&lt;VLOOKUP(WEEKDAY($I19,2),InputUge,3),$A19+MAX(B$8:B18),VLOOKUP(WEEKDAY($I19,2),InputUge,3)+MAX(B$8:B18))),""),""),"")</f>
        <v>50.47</v>
      </c>
      <c r="C19" s="144">
        <f t="shared" si="5"/>
        <v>1</v>
      </c>
      <c r="D19" s="146">
        <f t="shared" si="6"/>
        <v>50</v>
      </c>
      <c r="E19" s="146">
        <f t="shared" si="7"/>
        <v>0.46999999999999886</v>
      </c>
      <c r="F19" s="146">
        <f t="shared" si="8"/>
        <v>0.28199999999999936</v>
      </c>
      <c r="G19" s="261">
        <f t="shared" si="28"/>
        <v>50.281999999999996</v>
      </c>
      <c r="H19" s="4">
        <v>11</v>
      </c>
      <c r="I19" s="16">
        <f t="shared" si="9"/>
        <v>41589</v>
      </c>
      <c r="J19" s="6">
        <v>0.34826388888888887</v>
      </c>
      <c r="K19" s="6">
        <v>0.64236111111111105</v>
      </c>
      <c r="L19" s="5">
        <f>IF(K19&gt;0,ROUND(((K19-J19)*24)-SUM(BR19:BS19)+BT19,2)+IF(Fredagsfrokost="n",IF(WEEKDAY($I19,2)=5,IF(K19&gt;=0.5,IF(K19&lt;=13/24,0,0),0),0),0),IF(AW19&gt;0,AW19,""))</f>
        <v>7.06</v>
      </c>
      <c r="M19" s="141">
        <f t="shared" si="29"/>
        <v>7</v>
      </c>
      <c r="N19" s="141">
        <f t="shared" si="30"/>
        <v>5.9999999999999609E-2</v>
      </c>
      <c r="O19" s="141">
        <f t="shared" si="31"/>
        <v>3.5999999999999761E-2</v>
      </c>
      <c r="P19" s="162">
        <f t="shared" si="32"/>
        <v>7.0359999999999996</v>
      </c>
      <c r="Q19" s="591"/>
      <c r="R19" s="592"/>
      <c r="S19" s="592"/>
      <c r="T19" s="593"/>
      <c r="U19" s="417"/>
      <c r="V19" s="240">
        <f t="shared" si="10"/>
        <v>0</v>
      </c>
      <c r="W19" s="240">
        <f t="shared" si="11"/>
        <v>0</v>
      </c>
      <c r="X19" s="240">
        <f t="shared" si="12"/>
        <v>0</v>
      </c>
      <c r="Y19" s="242">
        <f t="shared" si="13"/>
        <v>0</v>
      </c>
      <c r="Z19" s="417"/>
      <c r="AA19" s="417"/>
      <c r="AB19" s="417"/>
      <c r="AC19" s="417"/>
      <c r="AD19" s="417"/>
      <c r="AE19" s="240">
        <f t="shared" si="14"/>
        <v>0</v>
      </c>
      <c r="AF19" s="240">
        <f t="shared" si="15"/>
        <v>0</v>
      </c>
      <c r="AG19" s="240">
        <f t="shared" si="16"/>
        <v>0</v>
      </c>
      <c r="AH19" s="242">
        <f t="shared" si="17"/>
        <v>0</v>
      </c>
      <c r="AI19" s="245"/>
      <c r="AJ19" s="245"/>
      <c r="AK19" s="245"/>
      <c r="AL19" s="420"/>
      <c r="AM19" s="472"/>
      <c r="AN19" s="240">
        <f t="shared" si="0"/>
        <v>0</v>
      </c>
      <c r="AO19" s="240">
        <f t="shared" si="1"/>
        <v>0</v>
      </c>
      <c r="AP19" s="240">
        <f t="shared" si="2"/>
        <v>0</v>
      </c>
      <c r="AQ19" s="242">
        <f t="shared" si="18"/>
        <v>0</v>
      </c>
      <c r="AR19" s="245"/>
      <c r="AS19" s="245"/>
      <c r="AT19" s="245"/>
      <c r="AU19" s="420"/>
      <c r="BA19" s="189"/>
      <c r="BB19" s="189"/>
      <c r="BC19" s="189"/>
      <c r="BD19" s="189"/>
      <c r="BE19" s="189"/>
      <c r="BG19" s="145">
        <f>IF($K19&gt;=0,+SUM(L$9:$L19)-$B19+Nov!$AZ$40+SUM(AQ$9:$AQ19)," ")</f>
        <v>7.1054273576010019E-15</v>
      </c>
      <c r="BH19" s="144">
        <f t="shared" si="19"/>
        <v>1</v>
      </c>
      <c r="BI19" s="146">
        <f t="shared" si="20"/>
        <v>0</v>
      </c>
      <c r="BJ19" s="146">
        <f t="shared" si="21"/>
        <v>7.1054273576010019E-15</v>
      </c>
      <c r="BK19" s="146">
        <f t="shared" si="22"/>
        <v>4.263256414560601E-15</v>
      </c>
      <c r="BL19" s="164">
        <f t="shared" si="3"/>
        <v>4.263256414560601E-15</v>
      </c>
      <c r="BM19" s="157">
        <f t="shared" si="23"/>
        <v>7.0359999999999996</v>
      </c>
      <c r="BN19">
        <f t="shared" si="4"/>
        <v>2</v>
      </c>
    </row>
    <row r="20" spans="1:66" ht="15.95" customHeight="1" x14ac:dyDescent="0.25">
      <c r="A20" s="83"/>
      <c r="B20" s="79">
        <f>IF($I20&lt;&gt;"",IF(WEEKDAY($I20,2)&lt;6,IF(VLOOKUP(WEEKDAY($I20,2),InputUge,3)&gt;0,IF($A20="",VLOOKUP(WEEKDAY($I20,2),InputUge,3)+MAX(B$8:B19),IF($A20&lt;VLOOKUP(WEEKDAY($I20,2),InputUge,3),$A20+MAX(B$8:B19),VLOOKUP(WEEKDAY($I20,2),InputUge,3)+MAX(B$8:B19))),""),""),"")</f>
        <v>57.536666666666662</v>
      </c>
      <c r="C20" s="144">
        <f t="shared" si="5"/>
        <v>1</v>
      </c>
      <c r="D20" s="146">
        <f t="shared" si="6"/>
        <v>57</v>
      </c>
      <c r="E20" s="146">
        <f t="shared" si="7"/>
        <v>0.53666666666666174</v>
      </c>
      <c r="F20" s="146">
        <f t="shared" si="8"/>
        <v>0.32199999999999707</v>
      </c>
      <c r="G20" s="261">
        <f t="shared" si="28"/>
        <v>57.321999999999996</v>
      </c>
      <c r="H20" s="4">
        <v>12</v>
      </c>
      <c r="I20" s="16">
        <f t="shared" si="9"/>
        <v>41590</v>
      </c>
      <c r="J20" s="6">
        <v>0.34791666666666665</v>
      </c>
      <c r="K20" s="6">
        <v>0.64236111111111105</v>
      </c>
      <c r="L20" s="5">
        <f>IF(K20&gt;0,ROUND(((K20-J20)*24)-SUM(BR20:BS20)+BT20,2)+IF(Fredagsfrokost="n",IF(WEEKDAY($I20,2)=5,IF(K20&gt;=0.5,IF(K20&lt;=13/24,0,0),0),0),0),IF(AW20&gt;0,AW20,""))</f>
        <v>7.07</v>
      </c>
      <c r="M20" s="141">
        <f t="shared" si="29"/>
        <v>7</v>
      </c>
      <c r="N20" s="141">
        <f t="shared" si="30"/>
        <v>7.0000000000000284E-2</v>
      </c>
      <c r="O20" s="141">
        <f t="shared" si="31"/>
        <v>4.2000000000000169E-2</v>
      </c>
      <c r="P20" s="162">
        <f t="shared" si="32"/>
        <v>7.0419999999999998</v>
      </c>
      <c r="Q20" s="591"/>
      <c r="R20" s="592"/>
      <c r="S20" s="592"/>
      <c r="T20" s="593"/>
      <c r="U20" s="417"/>
      <c r="V20" s="240">
        <f t="shared" si="10"/>
        <v>0</v>
      </c>
      <c r="W20" s="240">
        <f t="shared" si="11"/>
        <v>0</v>
      </c>
      <c r="X20" s="240">
        <f t="shared" si="12"/>
        <v>0</v>
      </c>
      <c r="Y20" s="242">
        <f t="shared" si="13"/>
        <v>0</v>
      </c>
      <c r="Z20" s="417"/>
      <c r="AA20" s="417"/>
      <c r="AB20" s="417"/>
      <c r="AC20" s="417"/>
      <c r="AD20" s="417"/>
      <c r="AE20" s="240">
        <f t="shared" si="14"/>
        <v>0</v>
      </c>
      <c r="AF20" s="240">
        <f t="shared" si="15"/>
        <v>0</v>
      </c>
      <c r="AG20" s="240">
        <f t="shared" si="16"/>
        <v>0</v>
      </c>
      <c r="AH20" s="242">
        <f t="shared" si="17"/>
        <v>0</v>
      </c>
      <c r="AI20" s="245"/>
      <c r="AJ20" s="245"/>
      <c r="AK20" s="245"/>
      <c r="AL20" s="420"/>
      <c r="AM20" s="472"/>
      <c r="AN20" s="240">
        <f t="shared" si="0"/>
        <v>0</v>
      </c>
      <c r="AO20" s="240">
        <f t="shared" si="1"/>
        <v>0</v>
      </c>
      <c r="AP20" s="240">
        <f t="shared" si="2"/>
        <v>0</v>
      </c>
      <c r="AQ20" s="242">
        <f t="shared" si="18"/>
        <v>0</v>
      </c>
      <c r="AR20" s="245"/>
      <c r="AS20" s="245"/>
      <c r="AT20" s="245"/>
      <c r="AU20" s="420"/>
      <c r="BA20" s="189"/>
      <c r="BB20" s="189"/>
      <c r="BC20" s="189"/>
      <c r="BD20" s="189"/>
      <c r="BE20" s="189"/>
      <c r="BG20" s="145">
        <f>IF($K20&gt;=0,+SUM(L$9:$L20)-$B20+Nov!$AZ$40+SUM(AQ$9:$AQ20)," ")</f>
        <v>3.3333333333445125E-3</v>
      </c>
      <c r="BH20" s="144">
        <f t="shared" si="19"/>
        <v>1</v>
      </c>
      <c r="BI20" s="146">
        <f t="shared" si="20"/>
        <v>0</v>
      </c>
      <c r="BJ20" s="146">
        <f t="shared" si="21"/>
        <v>3.3333333333445125E-3</v>
      </c>
      <c r="BK20" s="146">
        <f t="shared" si="22"/>
        <v>2.0000000000067073E-3</v>
      </c>
      <c r="BL20" s="164">
        <f>IF(BN20=2,+BK20+BI20,"")</f>
        <v>2.0000000000067073E-3</v>
      </c>
      <c r="BM20" s="157">
        <f>+P20</f>
        <v>7.0419999999999998</v>
      </c>
      <c r="BN20">
        <f t="shared" si="4"/>
        <v>2</v>
      </c>
    </row>
    <row r="21" spans="1:66" ht="15.95" customHeight="1" x14ac:dyDescent="0.25">
      <c r="A21" s="83"/>
      <c r="B21" s="79">
        <f>IF($I21&lt;&gt;"",IF(WEEKDAY($I21,2)&lt;6,IF(VLOOKUP(WEEKDAY($I21,2),InputUge,3)&gt;0,IF($A21="",VLOOKUP(WEEKDAY($I21,2),InputUge,3)+MAX(B$8:B20),IF($A21&lt;VLOOKUP(WEEKDAY($I21,2),InputUge,3),$A21+MAX(B$8:B20),VLOOKUP(WEEKDAY($I21,2),InputUge,3)+MAX(B$8:B20))),""),""),"")</f>
        <v>64.603333333333325</v>
      </c>
      <c r="C21" s="144">
        <f t="shared" si="5"/>
        <v>1</v>
      </c>
      <c r="D21" s="146">
        <f t="shared" si="6"/>
        <v>64</v>
      </c>
      <c r="E21" s="146">
        <f t="shared" si="7"/>
        <v>0.60333333333332462</v>
      </c>
      <c r="F21" s="146">
        <f t="shared" si="8"/>
        <v>0.36199999999999477</v>
      </c>
      <c r="G21" s="261">
        <f t="shared" si="28"/>
        <v>64.361999999999995</v>
      </c>
      <c r="H21" s="4">
        <v>13</v>
      </c>
      <c r="I21" s="16">
        <f t="shared" si="9"/>
        <v>41591</v>
      </c>
      <c r="J21" s="6">
        <v>0.34791666666666665</v>
      </c>
      <c r="K21" s="6">
        <v>0.64236111111111105</v>
      </c>
      <c r="L21" s="5">
        <f>IF(K21&gt;0,ROUND(((K21-J21)*24)-SUM(BR21:BS21)+BT21,2)+IF(Fredagsfrokost="n",IF(WEEKDAY($I21,2)=5,IF(K21&gt;=0.5,IF(K21&lt;=13/24,0,0),0),0),0),IF(AW21&gt;0,AW21,""))</f>
        <v>7.07</v>
      </c>
      <c r="M21" s="141">
        <f t="shared" si="29"/>
        <v>7</v>
      </c>
      <c r="N21" s="141">
        <f t="shared" si="30"/>
        <v>7.0000000000000284E-2</v>
      </c>
      <c r="O21" s="141">
        <f t="shared" si="31"/>
        <v>4.2000000000000169E-2</v>
      </c>
      <c r="P21" s="162">
        <f t="shared" si="32"/>
        <v>7.0419999999999998</v>
      </c>
      <c r="Q21" s="591"/>
      <c r="R21" s="592"/>
      <c r="S21" s="592"/>
      <c r="T21" s="593"/>
      <c r="U21" s="417"/>
      <c r="V21" s="240">
        <f t="shared" si="10"/>
        <v>0</v>
      </c>
      <c r="W21" s="240">
        <f t="shared" si="11"/>
        <v>0</v>
      </c>
      <c r="X21" s="240">
        <f t="shared" si="12"/>
        <v>0</v>
      </c>
      <c r="Y21" s="242">
        <f t="shared" si="13"/>
        <v>0</v>
      </c>
      <c r="Z21" s="417"/>
      <c r="AA21" s="417"/>
      <c r="AB21" s="417"/>
      <c r="AC21" s="417"/>
      <c r="AD21" s="417"/>
      <c r="AE21" s="240">
        <f t="shared" si="14"/>
        <v>0</v>
      </c>
      <c r="AF21" s="240">
        <f t="shared" si="15"/>
        <v>0</v>
      </c>
      <c r="AG21" s="240">
        <f t="shared" si="16"/>
        <v>0</v>
      </c>
      <c r="AH21" s="242">
        <f t="shared" si="17"/>
        <v>0</v>
      </c>
      <c r="AI21" s="245"/>
      <c r="AJ21" s="245"/>
      <c r="AK21" s="245"/>
      <c r="AL21" s="420"/>
      <c r="AM21" s="472"/>
      <c r="AN21" s="240">
        <f t="shared" si="0"/>
        <v>0</v>
      </c>
      <c r="AO21" s="240">
        <f t="shared" si="1"/>
        <v>0</v>
      </c>
      <c r="AP21" s="240">
        <f t="shared" si="2"/>
        <v>0</v>
      </c>
      <c r="AQ21" s="242">
        <f t="shared" si="18"/>
        <v>0</v>
      </c>
      <c r="AR21" s="245"/>
      <c r="AS21" s="245"/>
      <c r="AT21" s="245"/>
      <c r="AU21" s="420"/>
      <c r="BA21" s="189"/>
      <c r="BB21" s="189"/>
      <c r="BC21" s="189"/>
      <c r="BD21" s="189"/>
      <c r="BE21" s="189"/>
      <c r="BG21" s="145">
        <f>IF($K21&gt;=0,+SUM(L$9:$L21)-$B21+Nov!$AZ$40+SUM(AQ$9:$AQ21)," ")</f>
        <v>6.6666666666890251E-3</v>
      </c>
      <c r="BH21" s="144">
        <f t="shared" si="19"/>
        <v>1</v>
      </c>
      <c r="BI21" s="146">
        <f t="shared" si="20"/>
        <v>0</v>
      </c>
      <c r="BJ21" s="146">
        <f t="shared" si="21"/>
        <v>6.6666666666890251E-3</v>
      </c>
      <c r="BK21" s="146">
        <f t="shared" si="22"/>
        <v>4.0000000000134147E-3</v>
      </c>
      <c r="BL21" s="164">
        <f>IF(BN21=2,+BK21+BI21,"")</f>
        <v>4.0000000000134147E-3</v>
      </c>
      <c r="BM21" s="157">
        <f>+P21</f>
        <v>7.0419999999999998</v>
      </c>
      <c r="BN21">
        <f t="shared" si="4"/>
        <v>2</v>
      </c>
    </row>
    <row r="22" spans="1:66" ht="15.95" customHeight="1" x14ac:dyDescent="0.25">
      <c r="A22" s="83"/>
      <c r="B22" s="79">
        <f>IF($I22&lt;&gt;"",IF(WEEKDAY($I22,2)&lt;6,IF(VLOOKUP(WEEKDAY($I22,2),InputUge,3)&gt;0,IF($A22="",VLOOKUP(WEEKDAY($I22,2),InputUge,3)+MAX(B$8:B21),IF($A22&lt;VLOOKUP(WEEKDAY($I22,2),InputUge,3),$A22+MAX(B$8:B21),VLOOKUP(WEEKDAY($I22,2),InputUge,3)+MAX(B$8:B21))),""),""),"")</f>
        <v>74.013333333333321</v>
      </c>
      <c r="C22" s="144">
        <f t="shared" si="5"/>
        <v>1</v>
      </c>
      <c r="D22" s="146">
        <f t="shared" si="6"/>
        <v>74</v>
      </c>
      <c r="E22" s="146">
        <f t="shared" si="7"/>
        <v>1.3333333333321207E-2</v>
      </c>
      <c r="F22" s="146">
        <f t="shared" si="8"/>
        <v>7.9999999999927247E-3</v>
      </c>
      <c r="G22" s="261">
        <f t="shared" si="28"/>
        <v>74.007999999999996</v>
      </c>
      <c r="H22" s="4">
        <v>14</v>
      </c>
      <c r="I22" s="16">
        <f t="shared" si="9"/>
        <v>41592</v>
      </c>
      <c r="J22" s="6">
        <v>0.34791666666666665</v>
      </c>
      <c r="K22" s="6">
        <v>0.73987268518518512</v>
      </c>
      <c r="L22" s="5">
        <f>IF(K22&gt;0,ROUND(((K22-J22)*24)-SUM(BR22:BS22)+BT22,2)+IF(Fredagsfrokost="n",IF(WEEKDAY($I22,2)=5,IF(K22&gt;=0.5,IF(K22&lt;=13/24,0,0),0),0),0),IF(AW22&gt;0,AW22,""))</f>
        <v>9.41</v>
      </c>
      <c r="M22" s="141">
        <f t="shared" si="29"/>
        <v>9</v>
      </c>
      <c r="N22" s="141">
        <f t="shared" si="30"/>
        <v>0.41000000000000014</v>
      </c>
      <c r="O22" s="141">
        <f t="shared" si="31"/>
        <v>0.24600000000000008</v>
      </c>
      <c r="P22" s="162">
        <f t="shared" si="32"/>
        <v>9.2460000000000004</v>
      </c>
      <c r="Q22" s="591"/>
      <c r="R22" s="592"/>
      <c r="S22" s="592"/>
      <c r="T22" s="593"/>
      <c r="U22" s="417"/>
      <c r="V22" s="240">
        <f t="shared" si="10"/>
        <v>0</v>
      </c>
      <c r="W22" s="240">
        <f t="shared" si="11"/>
        <v>0</v>
      </c>
      <c r="X22" s="240">
        <f t="shared" si="12"/>
        <v>0</v>
      </c>
      <c r="Y22" s="242">
        <f t="shared" si="13"/>
        <v>0</v>
      </c>
      <c r="Z22" s="417"/>
      <c r="AA22" s="417"/>
      <c r="AB22" s="417"/>
      <c r="AC22" s="417"/>
      <c r="AD22" s="417"/>
      <c r="AE22" s="240">
        <f t="shared" si="14"/>
        <v>0</v>
      </c>
      <c r="AF22" s="240">
        <f t="shared" si="15"/>
        <v>0</v>
      </c>
      <c r="AG22" s="240">
        <f t="shared" si="16"/>
        <v>0</v>
      </c>
      <c r="AH22" s="242">
        <f t="shared" si="17"/>
        <v>0</v>
      </c>
      <c r="AI22" s="245"/>
      <c r="AJ22" s="245"/>
      <c r="AK22" s="245"/>
      <c r="AL22" s="420"/>
      <c r="AM22" s="472"/>
      <c r="AN22" s="240">
        <f t="shared" si="0"/>
        <v>0</v>
      </c>
      <c r="AO22" s="240">
        <f t="shared" si="1"/>
        <v>0</v>
      </c>
      <c r="AP22" s="240">
        <f t="shared" si="2"/>
        <v>0</v>
      </c>
      <c r="AQ22" s="242">
        <f t="shared" si="18"/>
        <v>0</v>
      </c>
      <c r="AR22" s="245"/>
      <c r="AS22" s="245"/>
      <c r="AT22" s="245"/>
      <c r="AU22" s="420"/>
      <c r="BA22" s="189"/>
      <c r="BB22" s="189"/>
      <c r="BC22" s="189"/>
      <c r="BD22" s="189"/>
      <c r="BE22" s="189"/>
      <c r="BG22" s="145">
        <f>IF($K22&gt;=0,+SUM(L$9:$L22)-$B22+Nov!$AZ$40+SUM(AQ$9:$AQ22)," ")</f>
        <v>6.6666666666890251E-3</v>
      </c>
      <c r="BH22" s="144">
        <f t="shared" si="19"/>
        <v>1</v>
      </c>
      <c r="BI22" s="146">
        <f t="shared" si="20"/>
        <v>0</v>
      </c>
      <c r="BJ22" s="146">
        <f t="shared" si="21"/>
        <v>6.6666666666890251E-3</v>
      </c>
      <c r="BK22" s="146">
        <f t="shared" si="22"/>
        <v>4.0000000000134147E-3</v>
      </c>
      <c r="BL22" s="164">
        <f>IF(BN22=2,+BK22+BI22,"")</f>
        <v>4.0000000000134147E-3</v>
      </c>
      <c r="BM22" s="157">
        <f t="shared" si="23"/>
        <v>9.2460000000000004</v>
      </c>
      <c r="BN22">
        <f t="shared" si="4"/>
        <v>2</v>
      </c>
    </row>
    <row r="23" spans="1:66" ht="15.95" customHeight="1" x14ac:dyDescent="0.25">
      <c r="A23" s="83"/>
      <c r="B23" s="79">
        <f>IF($I23&lt;&gt;"",IF(WEEKDAY($I23,2)&lt;6,IF(VLOOKUP(WEEKDAY($I23,2),InputUge,3)&gt;0,IF($A23="",VLOOKUP(WEEKDAY($I23,2),InputUge,3)+MAX(B$8:B22),IF($A23&lt;VLOOKUP(WEEKDAY($I23,2),InputUge,3),$A23+MAX(B$8:B22),VLOOKUP(WEEKDAY($I23,2),InputUge,3)+MAX(B$8:B22))),""),""),"")</f>
        <v>80.413333333333327</v>
      </c>
      <c r="C23" s="144">
        <f t="shared" si="5"/>
        <v>1</v>
      </c>
      <c r="D23" s="146">
        <f t="shared" si="6"/>
        <v>80</v>
      </c>
      <c r="E23" s="146">
        <f t="shared" si="7"/>
        <v>0.41333333333332689</v>
      </c>
      <c r="F23" s="146">
        <f t="shared" si="8"/>
        <v>0.24799999999999617</v>
      </c>
      <c r="G23" s="261">
        <f t="shared" si="28"/>
        <v>80.24799999999999</v>
      </c>
      <c r="H23" s="4">
        <v>15</v>
      </c>
      <c r="I23" s="16">
        <f t="shared" si="9"/>
        <v>41593</v>
      </c>
      <c r="J23" s="6">
        <v>0.34791666666666665</v>
      </c>
      <c r="K23" s="6">
        <v>0.61458333333333337</v>
      </c>
      <c r="L23" s="5">
        <f>IF(K23&gt;0,ROUND(((K23-J23)*24)-SUM(BR23:BS23)+BT23,2)+IF(Fredagsfrokost="n",IF(WEEKDAY($I23,2)=5,IF(K23&gt;=0.5,IF(K23&lt;=13/24,0,0),0),0),0),IF(AW23&gt;0,AW23,""))</f>
        <v>6.4</v>
      </c>
      <c r="M23" s="141">
        <f t="shared" si="29"/>
        <v>6</v>
      </c>
      <c r="N23" s="141">
        <f t="shared" si="30"/>
        <v>0.40000000000000036</v>
      </c>
      <c r="O23" s="141">
        <f t="shared" si="31"/>
        <v>0.24000000000000021</v>
      </c>
      <c r="P23" s="162">
        <f t="shared" si="32"/>
        <v>6.24</v>
      </c>
      <c r="Q23" s="591"/>
      <c r="R23" s="592"/>
      <c r="S23" s="592"/>
      <c r="T23" s="593"/>
      <c r="U23" s="417"/>
      <c r="V23" s="240">
        <f t="shared" si="10"/>
        <v>0</v>
      </c>
      <c r="W23" s="240">
        <f t="shared" si="11"/>
        <v>0</v>
      </c>
      <c r="X23" s="240">
        <f t="shared" si="12"/>
        <v>0</v>
      </c>
      <c r="Y23" s="242">
        <f t="shared" si="13"/>
        <v>0</v>
      </c>
      <c r="Z23" s="417"/>
      <c r="AA23" s="417"/>
      <c r="AB23" s="417"/>
      <c r="AC23" s="417"/>
      <c r="AD23" s="417"/>
      <c r="AE23" s="240">
        <f t="shared" si="14"/>
        <v>0</v>
      </c>
      <c r="AF23" s="240">
        <f t="shared" si="15"/>
        <v>0</v>
      </c>
      <c r="AG23" s="240">
        <f t="shared" si="16"/>
        <v>0</v>
      </c>
      <c r="AH23" s="242">
        <f t="shared" si="17"/>
        <v>0</v>
      </c>
      <c r="AI23" s="245"/>
      <c r="AJ23" s="245"/>
      <c r="AK23" s="245"/>
      <c r="AL23" s="420"/>
      <c r="AM23" s="472"/>
      <c r="AN23" s="240">
        <f t="shared" si="0"/>
        <v>0</v>
      </c>
      <c r="AO23" s="240">
        <f t="shared" si="1"/>
        <v>0</v>
      </c>
      <c r="AP23" s="240">
        <f t="shared" si="2"/>
        <v>0</v>
      </c>
      <c r="AQ23" s="242">
        <f t="shared" si="18"/>
        <v>0</v>
      </c>
      <c r="AR23" s="245"/>
      <c r="AS23" s="245"/>
      <c r="AT23" s="245"/>
      <c r="AU23" s="420"/>
      <c r="BA23" s="189"/>
      <c r="BB23" s="189"/>
      <c r="BC23" s="189"/>
      <c r="BD23" s="189"/>
      <c r="BE23" s="189"/>
      <c r="BG23" s="145">
        <f>IF($K23&gt;=0,+SUM(L$9:$L23)-$B23+Nov!$AZ$40+SUM(AQ$9:$AQ23)," ")</f>
        <v>6.6666666666890251E-3</v>
      </c>
      <c r="BH23" s="144">
        <f t="shared" si="19"/>
        <v>1</v>
      </c>
      <c r="BI23" s="146">
        <f t="shared" si="20"/>
        <v>0</v>
      </c>
      <c r="BJ23" s="146">
        <f t="shared" si="21"/>
        <v>6.6666666666890251E-3</v>
      </c>
      <c r="BK23" s="146">
        <f t="shared" si="22"/>
        <v>4.0000000000134147E-3</v>
      </c>
      <c r="BL23" s="164">
        <f t="shared" si="3"/>
        <v>4.0000000000134147E-3</v>
      </c>
      <c r="BM23" s="157">
        <f t="shared" si="23"/>
        <v>6.24</v>
      </c>
      <c r="BN23">
        <f t="shared" si="4"/>
        <v>2</v>
      </c>
    </row>
    <row r="24" spans="1:66" ht="15.95" customHeight="1" x14ac:dyDescent="0.25">
      <c r="A24" s="83"/>
      <c r="B24" s="79" t="str">
        <f>IF($I24&lt;&gt;"",IF(WEEKDAY($I24,2)&lt;6,IF(VLOOKUP(WEEKDAY($I24,2),InputUge,3)&gt;0,IF($A24="",VLOOKUP(WEEKDAY($I24,2),InputUge,3)+MAX(B$8:B23),IF($A24&lt;VLOOKUP(WEEKDAY($I24,2),InputUge,3),$A24+MAX(B$8:B23),VLOOKUP(WEEKDAY($I24,2),InputUge,3)+MAX(B$8:B23))),""),""),"")</f>
        <v/>
      </c>
      <c r="C24" s="144">
        <f t="shared" si="5"/>
        <v>1</v>
      </c>
      <c r="D24" s="146" t="e">
        <f t="shared" si="6"/>
        <v>#VALUE!</v>
      </c>
      <c r="E24" s="146" t="e">
        <f t="shared" si="7"/>
        <v>#VALUE!</v>
      </c>
      <c r="F24" s="146" t="e">
        <f t="shared" si="8"/>
        <v>#VALUE!</v>
      </c>
      <c r="G24" s="261"/>
      <c r="H24" s="4">
        <v>16</v>
      </c>
      <c r="I24" s="16">
        <f t="shared" si="9"/>
        <v>41594</v>
      </c>
      <c r="J24" s="6"/>
      <c r="K24" s="6"/>
      <c r="L24" s="5"/>
      <c r="M24" s="141"/>
      <c r="N24" s="141"/>
      <c r="O24" s="141"/>
      <c r="P24" s="162"/>
      <c r="Q24" s="591"/>
      <c r="R24" s="592"/>
      <c r="S24" s="592"/>
      <c r="T24" s="593"/>
      <c r="U24" s="417"/>
      <c r="V24" s="240">
        <f t="shared" si="10"/>
        <v>0</v>
      </c>
      <c r="W24" s="240">
        <f t="shared" si="11"/>
        <v>0</v>
      </c>
      <c r="X24" s="240">
        <f t="shared" si="12"/>
        <v>0</v>
      </c>
      <c r="Y24" s="242">
        <f t="shared" si="13"/>
        <v>0</v>
      </c>
      <c r="Z24" s="417"/>
      <c r="AA24" s="417"/>
      <c r="AB24" s="417"/>
      <c r="AC24" s="417"/>
      <c r="AD24" s="417"/>
      <c r="AE24" s="240">
        <f t="shared" si="14"/>
        <v>0</v>
      </c>
      <c r="AF24" s="240">
        <f t="shared" si="15"/>
        <v>0</v>
      </c>
      <c r="AG24" s="240">
        <f t="shared" si="16"/>
        <v>0</v>
      </c>
      <c r="AH24" s="242">
        <f t="shared" si="17"/>
        <v>0</v>
      </c>
      <c r="AI24" s="245"/>
      <c r="AJ24" s="245"/>
      <c r="AK24" s="245"/>
      <c r="AL24" s="420"/>
      <c r="AM24" s="472"/>
      <c r="AN24" s="240">
        <f t="shared" si="0"/>
        <v>0</v>
      </c>
      <c r="AO24" s="240">
        <f t="shared" si="1"/>
        <v>0</v>
      </c>
      <c r="AP24" s="240">
        <f t="shared" si="2"/>
        <v>0</v>
      </c>
      <c r="AQ24" s="242">
        <f t="shared" si="18"/>
        <v>0</v>
      </c>
      <c r="AR24" s="245"/>
      <c r="AS24" s="245"/>
      <c r="AT24" s="245"/>
      <c r="AU24" s="420"/>
      <c r="BA24" s="189"/>
      <c r="BB24" s="189"/>
      <c r="BC24" s="189"/>
      <c r="BD24" s="189"/>
      <c r="BE24" s="189"/>
      <c r="BG24" s="145" t="e">
        <f>IF($K24&gt;=0,+SUM(L$9:$L24)-$B24+Nov!$AZ$40+SUM(AQ$9:$AQ24)," ")</f>
        <v>#VALUE!</v>
      </c>
      <c r="BH24" s="144" t="e">
        <f t="shared" si="19"/>
        <v>#VALUE!</v>
      </c>
      <c r="BI24" s="146" t="e">
        <f t="shared" si="20"/>
        <v>#VALUE!</v>
      </c>
      <c r="BJ24" s="146" t="e">
        <f t="shared" si="21"/>
        <v>#VALUE!</v>
      </c>
      <c r="BK24" s="146" t="e">
        <f t="shared" si="22"/>
        <v>#VALUE!</v>
      </c>
      <c r="BL24" s="164"/>
      <c r="BM24" s="157">
        <f t="shared" si="23"/>
        <v>0</v>
      </c>
      <c r="BN24">
        <f t="shared" si="4"/>
        <v>2</v>
      </c>
    </row>
    <row r="25" spans="1:66" ht="15.95" customHeight="1" x14ac:dyDescent="0.25">
      <c r="A25" s="83"/>
      <c r="B25" s="79" t="str">
        <f>IF($I25&lt;&gt;"",IF(WEEKDAY($I25,2)&lt;6,IF(VLOOKUP(WEEKDAY($I25,2),InputUge,3)&gt;0,IF($A25="",VLOOKUP(WEEKDAY($I25,2),InputUge,3)+MAX(B$8:B24),IF($A25&lt;VLOOKUP(WEEKDAY($I25,2),InputUge,3),$A25+MAX(B$8:B24),VLOOKUP(WEEKDAY($I25,2),InputUge,3)+MAX(B$8:B24))),""),""),"")</f>
        <v/>
      </c>
      <c r="C25" s="144">
        <f t="shared" si="5"/>
        <v>1</v>
      </c>
      <c r="D25" s="146" t="e">
        <f t="shared" si="6"/>
        <v>#VALUE!</v>
      </c>
      <c r="E25" s="146" t="e">
        <f t="shared" si="7"/>
        <v>#VALUE!</v>
      </c>
      <c r="F25" s="146" t="e">
        <f t="shared" si="8"/>
        <v>#VALUE!</v>
      </c>
      <c r="G25" s="261"/>
      <c r="H25" s="4">
        <v>17</v>
      </c>
      <c r="I25" s="16">
        <f t="shared" si="9"/>
        <v>41595</v>
      </c>
      <c r="J25" s="6"/>
      <c r="K25" s="6"/>
      <c r="L25" s="5"/>
      <c r="M25" s="141">
        <f t="shared" ref="M25:M30" si="33">FLOOR(L25,1)</f>
        <v>0</v>
      </c>
      <c r="N25" s="141">
        <f t="shared" ref="N25:N30" si="34">+L25-M25</f>
        <v>0</v>
      </c>
      <c r="O25" s="141">
        <f t="shared" ref="O25:O30" si="35">+N25/100*60</f>
        <v>0</v>
      </c>
      <c r="P25" s="141" t="str">
        <f t="shared" ref="P25:P30" si="36">IF(J25="","",O25+M25)</f>
        <v/>
      </c>
      <c r="Q25" s="591"/>
      <c r="R25" s="592"/>
      <c r="S25" s="592"/>
      <c r="T25" s="593"/>
      <c r="U25" s="417"/>
      <c r="V25" s="240">
        <f t="shared" si="10"/>
        <v>0</v>
      </c>
      <c r="W25" s="240">
        <f t="shared" si="11"/>
        <v>0</v>
      </c>
      <c r="X25" s="240">
        <f t="shared" si="12"/>
        <v>0</v>
      </c>
      <c r="Y25" s="242">
        <f t="shared" si="13"/>
        <v>0</v>
      </c>
      <c r="Z25" s="417"/>
      <c r="AA25" s="417"/>
      <c r="AB25" s="417"/>
      <c r="AC25" s="417"/>
      <c r="AD25" s="417"/>
      <c r="AE25" s="240">
        <f t="shared" si="14"/>
        <v>0</v>
      </c>
      <c r="AF25" s="240">
        <f t="shared" si="15"/>
        <v>0</v>
      </c>
      <c r="AG25" s="240">
        <f t="shared" si="16"/>
        <v>0</v>
      </c>
      <c r="AH25" s="242">
        <f t="shared" si="17"/>
        <v>0</v>
      </c>
      <c r="AI25" s="245"/>
      <c r="AJ25" s="245"/>
      <c r="AK25" s="245"/>
      <c r="AL25" s="420"/>
      <c r="AM25" s="472"/>
      <c r="AN25" s="240">
        <f t="shared" si="0"/>
        <v>0</v>
      </c>
      <c r="AO25" s="240">
        <f t="shared" si="1"/>
        <v>0</v>
      </c>
      <c r="AP25" s="240">
        <f t="shared" si="2"/>
        <v>0</v>
      </c>
      <c r="AQ25" s="242">
        <f t="shared" si="18"/>
        <v>0</v>
      </c>
      <c r="AR25" s="245"/>
      <c r="AS25" s="245"/>
      <c r="AT25" s="245"/>
      <c r="AU25" s="420"/>
      <c r="BA25" s="189"/>
      <c r="BB25" s="189"/>
      <c r="BC25" s="189"/>
      <c r="BD25" s="189"/>
      <c r="BE25" s="189"/>
      <c r="BG25" s="145" t="e">
        <f>IF($K25&gt;=0,+SUM(L$9:$L25)-$B25+Nov!$AZ$40+SUM(AQ$9:$AQ25)," ")</f>
        <v>#VALUE!</v>
      </c>
      <c r="BH25" s="144" t="e">
        <f t="shared" si="19"/>
        <v>#VALUE!</v>
      </c>
      <c r="BI25" s="146" t="e">
        <f t="shared" si="20"/>
        <v>#VALUE!</v>
      </c>
      <c r="BJ25" s="146" t="e">
        <f t="shared" si="21"/>
        <v>#VALUE!</v>
      </c>
      <c r="BK25" s="146" t="e">
        <f t="shared" si="22"/>
        <v>#VALUE!</v>
      </c>
      <c r="BL25" s="164" t="str">
        <f t="shared" si="3"/>
        <v/>
      </c>
      <c r="BM25" s="157" t="str">
        <f t="shared" si="23"/>
        <v/>
      </c>
      <c r="BN25">
        <f t="shared" si="4"/>
        <v>1</v>
      </c>
    </row>
    <row r="26" spans="1:66" ht="15.95" customHeight="1" x14ac:dyDescent="0.25">
      <c r="A26" s="83"/>
      <c r="B26" s="79">
        <f>IF($I26&lt;&gt;"",IF(WEEKDAY($I26,2)&lt;6,IF(VLOOKUP(WEEKDAY($I26,2),InputUge,3)&gt;0,IF($A26="",VLOOKUP(WEEKDAY($I26,2),InputUge,3)+MAX(B$8:B25),IF($A26&lt;VLOOKUP(WEEKDAY($I26,2),InputUge,3),$A26+MAX(B$8:B25),VLOOKUP(WEEKDAY($I26,2),InputUge,3)+MAX(B$8:B25))),""),""),"")</f>
        <v>87.476666666666659</v>
      </c>
      <c r="C26" s="144">
        <f t="shared" si="5"/>
        <v>1</v>
      </c>
      <c r="D26" s="146">
        <f t="shared" si="6"/>
        <v>87</v>
      </c>
      <c r="E26" s="146">
        <f t="shared" si="7"/>
        <v>0.47666666666665947</v>
      </c>
      <c r="F26" s="146">
        <f t="shared" si="8"/>
        <v>0.28599999999999565</v>
      </c>
      <c r="G26" s="261">
        <f t="shared" si="28"/>
        <v>87.286000000000001</v>
      </c>
      <c r="H26" s="4">
        <v>18</v>
      </c>
      <c r="I26" s="16">
        <f t="shared" si="9"/>
        <v>41596</v>
      </c>
      <c r="J26" s="6">
        <v>0.34826388888888887</v>
      </c>
      <c r="K26" s="6">
        <v>0.64236111111111105</v>
      </c>
      <c r="L26" s="5">
        <f>IF(K26&gt;0,ROUND(((K26-J26)*24)-SUM(BR26:BS26)+BT26,2)+IF(Fredagsfrokost="n",IF(WEEKDAY($I26,2)=5,IF(K26&gt;=0.5,IF(K26&lt;=13/24,0,0),0),0),0),IF(AW26&gt;0,AW26,""))</f>
        <v>7.06</v>
      </c>
      <c r="M26" s="141">
        <f t="shared" si="33"/>
        <v>7</v>
      </c>
      <c r="N26" s="141">
        <f t="shared" si="34"/>
        <v>5.9999999999999609E-2</v>
      </c>
      <c r="O26" s="141">
        <f t="shared" si="35"/>
        <v>3.5999999999999761E-2</v>
      </c>
      <c r="P26" s="162">
        <f t="shared" si="36"/>
        <v>7.0359999999999996</v>
      </c>
      <c r="Q26" s="591"/>
      <c r="R26" s="592"/>
      <c r="S26" s="592"/>
      <c r="T26" s="593"/>
      <c r="U26" s="417"/>
      <c r="V26" s="240">
        <f t="shared" si="10"/>
        <v>0</v>
      </c>
      <c r="W26" s="240">
        <f t="shared" si="11"/>
        <v>0</v>
      </c>
      <c r="X26" s="240">
        <f t="shared" si="12"/>
        <v>0</v>
      </c>
      <c r="Y26" s="242">
        <f t="shared" si="13"/>
        <v>0</v>
      </c>
      <c r="Z26" s="417"/>
      <c r="AA26" s="417"/>
      <c r="AB26" s="417"/>
      <c r="AC26" s="417"/>
      <c r="AD26" s="417"/>
      <c r="AE26" s="240">
        <f t="shared" si="14"/>
        <v>0</v>
      </c>
      <c r="AF26" s="240">
        <f t="shared" si="15"/>
        <v>0</v>
      </c>
      <c r="AG26" s="240">
        <f t="shared" si="16"/>
        <v>0</v>
      </c>
      <c r="AH26" s="242">
        <f t="shared" si="17"/>
        <v>0</v>
      </c>
      <c r="AI26" s="245"/>
      <c r="AJ26" s="245"/>
      <c r="AK26" s="245"/>
      <c r="AL26" s="420"/>
      <c r="AM26" s="472"/>
      <c r="AN26" s="240">
        <f t="shared" si="0"/>
        <v>0</v>
      </c>
      <c r="AO26" s="240">
        <f t="shared" si="1"/>
        <v>0</v>
      </c>
      <c r="AP26" s="240">
        <f t="shared" si="2"/>
        <v>0</v>
      </c>
      <c r="AQ26" s="242">
        <f t="shared" si="18"/>
        <v>0</v>
      </c>
      <c r="AR26" s="245"/>
      <c r="AS26" s="245"/>
      <c r="AT26" s="245"/>
      <c r="AU26" s="420"/>
      <c r="BA26" s="189"/>
      <c r="BB26" s="189"/>
      <c r="BC26" s="189"/>
      <c r="BD26" s="189"/>
      <c r="BE26" s="189"/>
      <c r="BG26" s="145">
        <f>IF($K26&gt;=0,+SUM(L$9:$L26)-$B26+Nov!$AZ$40+SUM(AQ$9:$AQ26)," ")</f>
        <v>3.3333333333587234E-3</v>
      </c>
      <c r="BH26" s="144">
        <f t="shared" si="19"/>
        <v>1</v>
      </c>
      <c r="BI26" s="146">
        <f t="shared" si="20"/>
        <v>0</v>
      </c>
      <c r="BJ26" s="146">
        <f t="shared" si="21"/>
        <v>3.3333333333587234E-3</v>
      </c>
      <c r="BK26" s="146">
        <f t="shared" si="22"/>
        <v>2.0000000000152339E-3</v>
      </c>
      <c r="BL26" s="164">
        <f t="shared" si="3"/>
        <v>2.0000000000152339E-3</v>
      </c>
      <c r="BM26" s="157">
        <f t="shared" si="23"/>
        <v>7.0359999999999996</v>
      </c>
      <c r="BN26">
        <f t="shared" si="4"/>
        <v>2</v>
      </c>
    </row>
    <row r="27" spans="1:66" ht="15.95" customHeight="1" x14ac:dyDescent="0.25">
      <c r="A27" s="83"/>
      <c r="B27" s="79">
        <f>IF($I27&lt;&gt;"",IF(WEEKDAY($I27,2)&lt;6,IF(VLOOKUP(WEEKDAY($I27,2),InputUge,3)&gt;0,IF($A27="",VLOOKUP(WEEKDAY($I27,2),InputUge,3)+MAX(B$8:B26),IF($A27&lt;VLOOKUP(WEEKDAY($I27,2),InputUge,3),$A27+MAX(B$8:B26),VLOOKUP(WEEKDAY($I27,2),InputUge,3)+MAX(B$8:B26))),""),""),"")</f>
        <v>94.543333333333322</v>
      </c>
      <c r="C27" s="144">
        <f t="shared" si="5"/>
        <v>1</v>
      </c>
      <c r="D27" s="146">
        <f t="shared" si="6"/>
        <v>94</v>
      </c>
      <c r="E27" s="146">
        <f t="shared" si="7"/>
        <v>0.54333333333332234</v>
      </c>
      <c r="F27" s="146">
        <f t="shared" si="8"/>
        <v>0.32599999999999341</v>
      </c>
      <c r="G27" s="261">
        <f t="shared" si="28"/>
        <v>94.325999999999993</v>
      </c>
      <c r="H27" s="4">
        <v>19</v>
      </c>
      <c r="I27" s="16">
        <f t="shared" si="9"/>
        <v>41597</v>
      </c>
      <c r="J27" s="6">
        <v>0.34791666666666665</v>
      </c>
      <c r="K27" s="6">
        <v>0.64236111111111105</v>
      </c>
      <c r="L27" s="5">
        <f>IF(K27&gt;0,ROUND(((K27-J27)*24)-SUM(BR27:BS27)+BT27,2)+IF(Fredagsfrokost="n",IF(WEEKDAY($I27,2)=5,IF(K27&gt;=0.5,IF(K27&lt;=13/24,0,0),0),0),0),IF(AW27&gt;0,AW27,""))</f>
        <v>7.07</v>
      </c>
      <c r="M27" s="141">
        <f t="shared" si="33"/>
        <v>7</v>
      </c>
      <c r="N27" s="141">
        <f t="shared" si="34"/>
        <v>7.0000000000000284E-2</v>
      </c>
      <c r="O27" s="141">
        <f t="shared" si="35"/>
        <v>4.2000000000000169E-2</v>
      </c>
      <c r="P27" s="162">
        <f t="shared" si="36"/>
        <v>7.0419999999999998</v>
      </c>
      <c r="Q27" s="591"/>
      <c r="R27" s="592"/>
      <c r="S27" s="592"/>
      <c r="T27" s="593"/>
      <c r="U27" s="417"/>
      <c r="V27" s="240">
        <f t="shared" si="10"/>
        <v>0</v>
      </c>
      <c r="W27" s="240">
        <f t="shared" si="11"/>
        <v>0</v>
      </c>
      <c r="X27" s="240">
        <f t="shared" si="12"/>
        <v>0</v>
      </c>
      <c r="Y27" s="242">
        <f t="shared" si="13"/>
        <v>0</v>
      </c>
      <c r="Z27" s="417"/>
      <c r="AA27" s="417"/>
      <c r="AB27" s="417"/>
      <c r="AC27" s="417"/>
      <c r="AD27" s="417"/>
      <c r="AE27" s="240">
        <f t="shared" si="14"/>
        <v>0</v>
      </c>
      <c r="AF27" s="240">
        <f t="shared" si="15"/>
        <v>0</v>
      </c>
      <c r="AG27" s="240">
        <f t="shared" si="16"/>
        <v>0</v>
      </c>
      <c r="AH27" s="242">
        <f t="shared" si="17"/>
        <v>0</v>
      </c>
      <c r="AI27" s="245"/>
      <c r="AJ27" s="245"/>
      <c r="AK27" s="245"/>
      <c r="AL27" s="420"/>
      <c r="AM27" s="472"/>
      <c r="AN27" s="240">
        <f t="shared" si="0"/>
        <v>0</v>
      </c>
      <c r="AO27" s="240">
        <f t="shared" si="1"/>
        <v>0</v>
      </c>
      <c r="AP27" s="240">
        <f t="shared" si="2"/>
        <v>0</v>
      </c>
      <c r="AQ27" s="242">
        <f t="shared" si="18"/>
        <v>0</v>
      </c>
      <c r="AR27" s="245"/>
      <c r="AS27" s="245"/>
      <c r="AT27" s="245"/>
      <c r="AU27" s="420"/>
      <c r="BA27" s="189"/>
      <c r="BB27" s="189"/>
      <c r="BC27" s="189"/>
      <c r="BD27" s="189"/>
      <c r="BE27" s="189"/>
      <c r="BG27" s="145">
        <f>IF($K27&gt;=0,+SUM(L$9:$L27)-$B27+Nov!$AZ$40+SUM(AQ$9:$AQ27)," ")</f>
        <v>6.6666666666890251E-3</v>
      </c>
      <c r="BH27" s="144">
        <f t="shared" si="19"/>
        <v>1</v>
      </c>
      <c r="BI27" s="146">
        <f t="shared" si="20"/>
        <v>0</v>
      </c>
      <c r="BJ27" s="146">
        <f t="shared" si="21"/>
        <v>6.6666666666890251E-3</v>
      </c>
      <c r="BK27" s="146">
        <f t="shared" si="22"/>
        <v>4.0000000000134147E-3</v>
      </c>
      <c r="BL27" s="164">
        <f t="shared" si="3"/>
        <v>4.0000000000134147E-3</v>
      </c>
      <c r="BM27" s="157">
        <f t="shared" si="23"/>
        <v>7.0419999999999998</v>
      </c>
      <c r="BN27">
        <f t="shared" si="4"/>
        <v>2</v>
      </c>
    </row>
    <row r="28" spans="1:66" ht="15.95" customHeight="1" x14ac:dyDescent="0.25">
      <c r="A28" s="83"/>
      <c r="B28" s="79">
        <f>IF($I28&lt;&gt;"",IF(WEEKDAY($I28,2)&lt;6,IF(VLOOKUP(WEEKDAY($I28,2),InputUge,3)&gt;0,IF($A28="",VLOOKUP(WEEKDAY($I28,2),InputUge,3)+MAX(B$8:B27),IF($A28&lt;VLOOKUP(WEEKDAY($I28,2),InputUge,3),$A28+MAX(B$8:B27),VLOOKUP(WEEKDAY($I28,2),InputUge,3)+MAX(B$8:B27))),""),""),"")</f>
        <v>101.60999999999999</v>
      </c>
      <c r="C28" s="144">
        <f t="shared" si="5"/>
        <v>1</v>
      </c>
      <c r="D28" s="146">
        <f t="shared" si="6"/>
        <v>101</v>
      </c>
      <c r="E28" s="146">
        <f t="shared" si="7"/>
        <v>0.60999999999998522</v>
      </c>
      <c r="F28" s="146">
        <f t="shared" si="8"/>
        <v>0.36599999999999111</v>
      </c>
      <c r="G28" s="261">
        <f t="shared" si="28"/>
        <v>101.36599999999999</v>
      </c>
      <c r="H28" s="4">
        <v>20</v>
      </c>
      <c r="I28" s="16">
        <f t="shared" si="9"/>
        <v>41598</v>
      </c>
      <c r="J28" s="6">
        <v>0.34791666666666665</v>
      </c>
      <c r="K28" s="6">
        <v>0.64218750000000002</v>
      </c>
      <c r="L28" s="5">
        <f>IF(K28&gt;0,ROUND(((K28-J28)*24)-SUM(BR28:BS28)+BT28,2)+IF(Fredagsfrokost="n",IF(WEEKDAY($I28,2)=5,IF(K28&gt;=0.5,IF(K28&lt;=13/24,0,0),0),0),0),IF(AW28&gt;0,AW28,""))</f>
        <v>7.06</v>
      </c>
      <c r="M28" s="141">
        <f t="shared" si="33"/>
        <v>7</v>
      </c>
      <c r="N28" s="141">
        <f t="shared" si="34"/>
        <v>5.9999999999999609E-2</v>
      </c>
      <c r="O28" s="141">
        <f t="shared" si="35"/>
        <v>3.5999999999999761E-2</v>
      </c>
      <c r="P28" s="162">
        <f t="shared" si="36"/>
        <v>7.0359999999999996</v>
      </c>
      <c r="Q28" s="591"/>
      <c r="R28" s="592"/>
      <c r="S28" s="592"/>
      <c r="T28" s="593"/>
      <c r="U28" s="417"/>
      <c r="V28" s="240">
        <f t="shared" si="10"/>
        <v>0</v>
      </c>
      <c r="W28" s="240">
        <f t="shared" si="11"/>
        <v>0</v>
      </c>
      <c r="X28" s="240">
        <f t="shared" si="12"/>
        <v>0</v>
      </c>
      <c r="Y28" s="242">
        <f t="shared" si="13"/>
        <v>0</v>
      </c>
      <c r="Z28" s="417"/>
      <c r="AA28" s="417"/>
      <c r="AB28" s="417"/>
      <c r="AC28" s="417"/>
      <c r="AD28" s="417"/>
      <c r="AE28" s="240">
        <f t="shared" si="14"/>
        <v>0</v>
      </c>
      <c r="AF28" s="240">
        <f t="shared" si="15"/>
        <v>0</v>
      </c>
      <c r="AG28" s="240">
        <f t="shared" si="16"/>
        <v>0</v>
      </c>
      <c r="AH28" s="242">
        <f t="shared" si="17"/>
        <v>0</v>
      </c>
      <c r="AI28" s="245"/>
      <c r="AJ28" s="245"/>
      <c r="AK28" s="245"/>
      <c r="AL28" s="420"/>
      <c r="AM28" s="472"/>
      <c r="AN28" s="240">
        <f t="shared" si="0"/>
        <v>0</v>
      </c>
      <c r="AO28" s="240">
        <f t="shared" si="1"/>
        <v>0</v>
      </c>
      <c r="AP28" s="240">
        <f t="shared" si="2"/>
        <v>0</v>
      </c>
      <c r="AQ28" s="242">
        <f t="shared" si="18"/>
        <v>0</v>
      </c>
      <c r="AR28" s="245"/>
      <c r="AS28" s="245"/>
      <c r="AT28" s="245"/>
      <c r="AU28" s="420"/>
      <c r="BA28" s="189"/>
      <c r="BB28" s="189"/>
      <c r="BC28" s="189"/>
      <c r="BD28" s="189"/>
      <c r="BE28" s="189"/>
      <c r="BG28" s="145">
        <f>IF($K28&gt;=0,+SUM(L$9:$L28)-$B28+Nov!$AZ$40+SUM(AQ$9:$AQ28)," ")</f>
        <v>2.8421709430404007E-14</v>
      </c>
      <c r="BH28" s="144">
        <f t="shared" si="19"/>
        <v>1</v>
      </c>
      <c r="BI28" s="146">
        <f t="shared" si="20"/>
        <v>0</v>
      </c>
      <c r="BJ28" s="146">
        <f t="shared" si="21"/>
        <v>2.8421709430404007E-14</v>
      </c>
      <c r="BK28" s="146">
        <f t="shared" si="22"/>
        <v>1.7053025658242404E-14</v>
      </c>
      <c r="BL28" s="164">
        <f t="shared" si="3"/>
        <v>1.7053025658242404E-14</v>
      </c>
      <c r="BM28" s="157">
        <f t="shared" si="23"/>
        <v>7.0359999999999996</v>
      </c>
      <c r="BN28">
        <f t="shared" si="4"/>
        <v>2</v>
      </c>
    </row>
    <row r="29" spans="1:66" ht="15.95" customHeight="1" x14ac:dyDescent="0.25">
      <c r="A29" s="83"/>
      <c r="B29" s="79">
        <f>IF($I29&lt;&gt;"",IF(WEEKDAY($I29,2)&lt;6,IF(VLOOKUP(WEEKDAY($I29,2),InputUge,3)&gt;0,IF($A29="",VLOOKUP(WEEKDAY($I29,2),InputUge,3)+MAX(B$8:B28),IF($A29&lt;VLOOKUP(WEEKDAY($I29,2),InputUge,3),$A29+MAX(B$8:B28),VLOOKUP(WEEKDAY($I29,2),InputUge,3)+MAX(B$8:B28))),""),""),"")</f>
        <v>111.01999999999998</v>
      </c>
      <c r="C29" s="144">
        <f t="shared" si="5"/>
        <v>1</v>
      </c>
      <c r="D29" s="146">
        <f t="shared" si="6"/>
        <v>111</v>
      </c>
      <c r="E29" s="146">
        <f t="shared" si="7"/>
        <v>1.999999999998181E-2</v>
      </c>
      <c r="F29" s="146">
        <f t="shared" si="8"/>
        <v>1.1999999999989087E-2</v>
      </c>
      <c r="G29" s="261">
        <f t="shared" si="28"/>
        <v>111.01199999999999</v>
      </c>
      <c r="H29" s="4">
        <v>21</v>
      </c>
      <c r="I29" s="16">
        <f t="shared" si="9"/>
        <v>41599</v>
      </c>
      <c r="J29" s="6">
        <v>0.34791666666666665</v>
      </c>
      <c r="K29" s="6">
        <v>0.73981481481481481</v>
      </c>
      <c r="L29" s="5">
        <f>IF(K29&gt;0,ROUND(((K29-J29)*24)-SUM(BR29:BS29)+BT29,2)+IF(Fredagsfrokost="n",IF(WEEKDAY($I29,2)=5,IF(K29&gt;=0.5,IF(K29&lt;=13/24,0,0),0),0),0),IF(AW29&gt;0,AW29,""))</f>
        <v>9.41</v>
      </c>
      <c r="M29" s="141">
        <f t="shared" si="33"/>
        <v>9</v>
      </c>
      <c r="N29" s="141">
        <f t="shared" si="34"/>
        <v>0.41000000000000014</v>
      </c>
      <c r="O29" s="141">
        <f t="shared" si="35"/>
        <v>0.24600000000000008</v>
      </c>
      <c r="P29" s="162">
        <f t="shared" si="36"/>
        <v>9.2460000000000004</v>
      </c>
      <c r="Q29" s="591"/>
      <c r="R29" s="592"/>
      <c r="S29" s="592"/>
      <c r="T29" s="593"/>
      <c r="U29" s="417"/>
      <c r="V29" s="240">
        <f t="shared" si="10"/>
        <v>0</v>
      </c>
      <c r="W29" s="240">
        <f t="shared" si="11"/>
        <v>0</v>
      </c>
      <c r="X29" s="240">
        <f t="shared" si="12"/>
        <v>0</v>
      </c>
      <c r="Y29" s="242">
        <f t="shared" si="13"/>
        <v>0</v>
      </c>
      <c r="Z29" s="417"/>
      <c r="AA29" s="417"/>
      <c r="AB29" s="417"/>
      <c r="AC29" s="417"/>
      <c r="AD29" s="417"/>
      <c r="AE29" s="240">
        <f t="shared" si="14"/>
        <v>0</v>
      </c>
      <c r="AF29" s="240">
        <f t="shared" si="15"/>
        <v>0</v>
      </c>
      <c r="AG29" s="240">
        <f t="shared" si="16"/>
        <v>0</v>
      </c>
      <c r="AH29" s="242">
        <f t="shared" si="17"/>
        <v>0</v>
      </c>
      <c r="AI29" s="245"/>
      <c r="AJ29" s="245"/>
      <c r="AK29" s="245"/>
      <c r="AL29" s="420"/>
      <c r="AM29" s="472"/>
      <c r="AN29" s="240">
        <f t="shared" si="0"/>
        <v>0</v>
      </c>
      <c r="AO29" s="240">
        <f t="shared" si="1"/>
        <v>0</v>
      </c>
      <c r="AP29" s="240">
        <f t="shared" si="2"/>
        <v>0</v>
      </c>
      <c r="AQ29" s="242">
        <f t="shared" si="18"/>
        <v>0</v>
      </c>
      <c r="AR29" s="245"/>
      <c r="AS29" s="245"/>
      <c r="AT29" s="245"/>
      <c r="AU29" s="420"/>
      <c r="BA29" s="189"/>
      <c r="BB29" s="189"/>
      <c r="BC29" s="189"/>
      <c r="BD29" s="189"/>
      <c r="BE29" s="189"/>
      <c r="BG29" s="145">
        <f>IF($K29&gt;=0,+SUM(L$9:$L29)-$B29+Nov!$AZ$40+SUM(AQ$9:$AQ29)," ")</f>
        <v>2.8421709430404007E-14</v>
      </c>
      <c r="BH29" s="144">
        <f t="shared" si="19"/>
        <v>1</v>
      </c>
      <c r="BI29" s="146">
        <f>FLOOR(BG29,BH29)</f>
        <v>0</v>
      </c>
      <c r="BJ29" s="146">
        <f>+BG29-BI29</f>
        <v>2.8421709430404007E-14</v>
      </c>
      <c r="BK29" s="146">
        <f t="shared" si="22"/>
        <v>1.7053025658242404E-14</v>
      </c>
      <c r="BL29" s="164">
        <f>IF(BN29=2,+BK29+BI29,"")</f>
        <v>1.7053025658242404E-14</v>
      </c>
      <c r="BM29" s="157">
        <f>+P29</f>
        <v>9.2460000000000004</v>
      </c>
      <c r="BN29">
        <f t="shared" si="4"/>
        <v>2</v>
      </c>
    </row>
    <row r="30" spans="1:66" ht="15.95" customHeight="1" x14ac:dyDescent="0.25">
      <c r="A30" s="83"/>
      <c r="B30" s="79">
        <f>IF($I30&lt;&gt;"",IF(WEEKDAY($I30,2)&lt;6,IF(VLOOKUP(WEEKDAY($I30,2),InputUge,3)&gt;0,IF($A30="",VLOOKUP(WEEKDAY($I30,2),InputUge,3)+MAX(B$8:B29),IF($A30&lt;VLOOKUP(WEEKDAY($I30,2),InputUge,3),$A30+MAX(B$8:B29),VLOOKUP(WEEKDAY($I30,2),InputUge,3)+MAX(B$8:B29))),""),""),"")</f>
        <v>117.41999999999999</v>
      </c>
      <c r="C30" s="144">
        <f t="shared" si="5"/>
        <v>1</v>
      </c>
      <c r="D30" s="146">
        <f t="shared" si="6"/>
        <v>117</v>
      </c>
      <c r="E30" s="146">
        <f t="shared" si="7"/>
        <v>0.41999999999998749</v>
      </c>
      <c r="F30" s="146">
        <f t="shared" si="8"/>
        <v>0.25199999999999251</v>
      </c>
      <c r="G30" s="261">
        <f t="shared" si="28"/>
        <v>117.252</v>
      </c>
      <c r="H30" s="4">
        <v>22</v>
      </c>
      <c r="I30" s="16">
        <f t="shared" si="9"/>
        <v>41600</v>
      </c>
      <c r="J30" s="6">
        <v>0.34791666666666665</v>
      </c>
      <c r="K30" s="6">
        <v>0.61458333333333337</v>
      </c>
      <c r="L30" s="5">
        <f>IF(K30&gt;0,ROUND(((K30-J30)*24)-SUM(BR30:BS30)+BT30,2)+IF(Fredagsfrokost="n",IF(WEEKDAY($I30,2)=5,IF(K30&gt;=0.5,IF(K30&lt;=13/24,0,0),0),0),0),IF(AW30&gt;0,AW30,""))</f>
        <v>6.4</v>
      </c>
      <c r="M30" s="141">
        <f t="shared" si="33"/>
        <v>6</v>
      </c>
      <c r="N30" s="141">
        <f t="shared" si="34"/>
        <v>0.40000000000000036</v>
      </c>
      <c r="O30" s="141">
        <f t="shared" si="35"/>
        <v>0.24000000000000021</v>
      </c>
      <c r="P30" s="162">
        <f t="shared" si="36"/>
        <v>6.24</v>
      </c>
      <c r="Q30" s="591"/>
      <c r="R30" s="592"/>
      <c r="S30" s="592"/>
      <c r="T30" s="593"/>
      <c r="U30" s="417"/>
      <c r="V30" s="240">
        <f t="shared" si="10"/>
        <v>0</v>
      </c>
      <c r="W30" s="240">
        <f t="shared" si="11"/>
        <v>0</v>
      </c>
      <c r="X30" s="240">
        <f t="shared" si="12"/>
        <v>0</v>
      </c>
      <c r="Y30" s="242">
        <f t="shared" si="13"/>
        <v>0</v>
      </c>
      <c r="Z30" s="417"/>
      <c r="AA30" s="417"/>
      <c r="AB30" s="417"/>
      <c r="AC30" s="417"/>
      <c r="AD30" s="417"/>
      <c r="AE30" s="240">
        <f t="shared" si="14"/>
        <v>0</v>
      </c>
      <c r="AF30" s="240">
        <f t="shared" si="15"/>
        <v>0</v>
      </c>
      <c r="AG30" s="240">
        <f t="shared" si="16"/>
        <v>0</v>
      </c>
      <c r="AH30" s="242">
        <f t="shared" si="17"/>
        <v>0</v>
      </c>
      <c r="AI30" s="245"/>
      <c r="AJ30" s="245"/>
      <c r="AK30" s="245"/>
      <c r="AL30" s="420"/>
      <c r="AM30" s="472"/>
      <c r="AN30" s="240">
        <f t="shared" si="0"/>
        <v>0</v>
      </c>
      <c r="AO30" s="240">
        <f t="shared" si="1"/>
        <v>0</v>
      </c>
      <c r="AP30" s="240">
        <f t="shared" si="2"/>
        <v>0</v>
      </c>
      <c r="AQ30" s="242">
        <f t="shared" si="18"/>
        <v>0</v>
      </c>
      <c r="AR30" s="245"/>
      <c r="AS30" s="245"/>
      <c r="AT30" s="245"/>
      <c r="AU30" s="420"/>
      <c r="BA30" s="189"/>
      <c r="BB30" s="189"/>
      <c r="BC30" s="189"/>
      <c r="BD30" s="189"/>
      <c r="BE30" s="189"/>
      <c r="BG30" s="145">
        <f>IF($K30&gt;=0,+SUM(L$9:$L30)-$B30+Nov!$AZ$40+SUM(AQ$9:$AQ30)," ")</f>
        <v>2.8421709430404007E-14</v>
      </c>
      <c r="BH30" s="144">
        <f t="shared" si="19"/>
        <v>1</v>
      </c>
      <c r="BI30" s="146">
        <f t="shared" si="20"/>
        <v>0</v>
      </c>
      <c r="BJ30" s="146">
        <f t="shared" si="21"/>
        <v>2.8421709430404007E-14</v>
      </c>
      <c r="BK30" s="146">
        <f t="shared" si="22"/>
        <v>1.7053025658242404E-14</v>
      </c>
      <c r="BL30" s="164">
        <f t="shared" si="3"/>
        <v>1.7053025658242404E-14</v>
      </c>
      <c r="BM30" s="157">
        <f t="shared" si="23"/>
        <v>6.24</v>
      </c>
      <c r="BN30">
        <f t="shared" si="4"/>
        <v>2</v>
      </c>
    </row>
    <row r="31" spans="1:66" ht="15.95" customHeight="1" x14ac:dyDescent="0.25">
      <c r="A31" s="83"/>
      <c r="B31" s="79" t="str">
        <f>IF($I31&lt;&gt;"",IF(WEEKDAY($I31,2)&lt;6,IF(VLOOKUP(WEEKDAY($I31,2),InputUge,3)&gt;0,IF($A31="",VLOOKUP(WEEKDAY($I31,2),InputUge,3)+MAX(B$8:B30),IF($A31&lt;VLOOKUP(WEEKDAY($I31,2),InputUge,3),$A31+MAX(B$8:B30),VLOOKUP(WEEKDAY($I31,2),InputUge,3)+MAX(B$8:B30))),""),""),"")</f>
        <v/>
      </c>
      <c r="C31" s="144">
        <f t="shared" si="5"/>
        <v>1</v>
      </c>
      <c r="D31" s="146" t="e">
        <f t="shared" si="6"/>
        <v>#VALUE!</v>
      </c>
      <c r="E31" s="146" t="e">
        <f t="shared" si="7"/>
        <v>#VALUE!</v>
      </c>
      <c r="F31" s="146" t="e">
        <f t="shared" si="8"/>
        <v>#VALUE!</v>
      </c>
      <c r="G31" s="261"/>
      <c r="H31" s="4">
        <v>23</v>
      </c>
      <c r="I31" s="16">
        <f t="shared" si="9"/>
        <v>41601</v>
      </c>
      <c r="J31" s="6"/>
      <c r="K31" s="6"/>
      <c r="L31" s="5"/>
      <c r="M31" s="141"/>
      <c r="N31" s="141"/>
      <c r="O31" s="141"/>
      <c r="P31" s="162"/>
      <c r="Q31" s="591"/>
      <c r="R31" s="592"/>
      <c r="S31" s="592"/>
      <c r="T31" s="593"/>
      <c r="U31" s="417"/>
      <c r="V31" s="240">
        <f t="shared" si="10"/>
        <v>0</v>
      </c>
      <c r="W31" s="240">
        <f t="shared" si="11"/>
        <v>0</v>
      </c>
      <c r="X31" s="240">
        <f t="shared" si="12"/>
        <v>0</v>
      </c>
      <c r="Y31" s="242">
        <f t="shared" si="13"/>
        <v>0</v>
      </c>
      <c r="Z31" s="417"/>
      <c r="AA31" s="417"/>
      <c r="AB31" s="417"/>
      <c r="AC31" s="417"/>
      <c r="AD31" s="417"/>
      <c r="AE31" s="240">
        <f t="shared" si="14"/>
        <v>0</v>
      </c>
      <c r="AF31" s="240">
        <f t="shared" si="15"/>
        <v>0</v>
      </c>
      <c r="AG31" s="240">
        <f t="shared" si="16"/>
        <v>0</v>
      </c>
      <c r="AH31" s="242">
        <f t="shared" si="17"/>
        <v>0</v>
      </c>
      <c r="AI31" s="245"/>
      <c r="AJ31" s="245"/>
      <c r="AK31" s="245"/>
      <c r="AL31" s="420"/>
      <c r="AM31" s="472"/>
      <c r="AN31" s="240">
        <f t="shared" si="0"/>
        <v>0</v>
      </c>
      <c r="AO31" s="240">
        <f t="shared" si="1"/>
        <v>0</v>
      </c>
      <c r="AP31" s="240">
        <f t="shared" si="2"/>
        <v>0</v>
      </c>
      <c r="AQ31" s="242">
        <f t="shared" si="18"/>
        <v>0</v>
      </c>
      <c r="AR31" s="245"/>
      <c r="AS31" s="245"/>
      <c r="AT31" s="245"/>
      <c r="AU31" s="420"/>
      <c r="BA31" s="189"/>
      <c r="BB31" s="189"/>
      <c r="BC31" s="189"/>
      <c r="BD31" s="189"/>
      <c r="BE31" s="189"/>
      <c r="BG31" s="145" t="e">
        <f>IF($K31&gt;=0,+SUM(L$9:$L31)-$B31+Nov!$AZ$40+SUM(AQ$9:$AQ31)," ")</f>
        <v>#VALUE!</v>
      </c>
      <c r="BH31" s="144" t="e">
        <f t="shared" si="19"/>
        <v>#VALUE!</v>
      </c>
      <c r="BI31" s="146" t="e">
        <f t="shared" si="20"/>
        <v>#VALUE!</v>
      </c>
      <c r="BJ31" s="146" t="e">
        <f t="shared" si="21"/>
        <v>#VALUE!</v>
      </c>
      <c r="BK31" s="146" t="e">
        <f t="shared" si="22"/>
        <v>#VALUE!</v>
      </c>
      <c r="BL31" s="164"/>
      <c r="BM31" s="157">
        <f t="shared" si="23"/>
        <v>0</v>
      </c>
      <c r="BN31">
        <f t="shared" si="4"/>
        <v>2</v>
      </c>
    </row>
    <row r="32" spans="1:66" ht="15.95" customHeight="1" x14ac:dyDescent="0.25">
      <c r="A32" s="83"/>
      <c r="B32" s="79" t="str">
        <f>IF($I32&lt;&gt;"",IF(WEEKDAY($I32,2)&lt;6,IF(VLOOKUP(WEEKDAY($I32,2),InputUge,3)&gt;0,IF($A32="",VLOOKUP(WEEKDAY($I32,2),InputUge,3)+MAX(B$8:B31),IF($A32&lt;VLOOKUP(WEEKDAY($I32,2),InputUge,3),$A32+MAX(B$8:B31),VLOOKUP(WEEKDAY($I32,2),InputUge,3)+MAX(B$8:B31))),""),""),"")</f>
        <v/>
      </c>
      <c r="C32" s="144">
        <f t="shared" si="5"/>
        <v>1</v>
      </c>
      <c r="D32" s="146" t="e">
        <f t="shared" si="6"/>
        <v>#VALUE!</v>
      </c>
      <c r="E32" s="146" t="e">
        <f t="shared" si="7"/>
        <v>#VALUE!</v>
      </c>
      <c r="F32" s="146" t="e">
        <f t="shared" si="8"/>
        <v>#VALUE!</v>
      </c>
      <c r="G32" s="261"/>
      <c r="H32" s="4">
        <v>24</v>
      </c>
      <c r="I32" s="16">
        <f t="shared" si="9"/>
        <v>41602</v>
      </c>
      <c r="J32" s="6"/>
      <c r="K32" s="6"/>
      <c r="L32" s="5"/>
      <c r="M32" s="141">
        <f t="shared" ref="M32:M37" si="37">FLOOR(L32,1)</f>
        <v>0</v>
      </c>
      <c r="N32" s="141">
        <f t="shared" ref="N32:N37" si="38">+L32-M32</f>
        <v>0</v>
      </c>
      <c r="O32" s="141">
        <f t="shared" ref="O32:O37" si="39">+N32/100*60</f>
        <v>0</v>
      </c>
      <c r="P32" s="141" t="str">
        <f t="shared" ref="P32:P37" si="40">IF(J32="","",O32+M32)</f>
        <v/>
      </c>
      <c r="Q32" s="591"/>
      <c r="R32" s="592"/>
      <c r="S32" s="592"/>
      <c r="T32" s="593"/>
      <c r="U32" s="417"/>
      <c r="V32" s="240">
        <f t="shared" si="10"/>
        <v>0</v>
      </c>
      <c r="W32" s="240">
        <f t="shared" si="11"/>
        <v>0</v>
      </c>
      <c r="X32" s="240">
        <f t="shared" si="12"/>
        <v>0</v>
      </c>
      <c r="Y32" s="242">
        <f t="shared" si="13"/>
        <v>0</v>
      </c>
      <c r="Z32" s="417"/>
      <c r="AA32" s="417"/>
      <c r="AB32" s="417"/>
      <c r="AC32" s="417"/>
      <c r="AD32" s="417"/>
      <c r="AE32" s="240">
        <f t="shared" si="14"/>
        <v>0</v>
      </c>
      <c r="AF32" s="240">
        <f t="shared" si="15"/>
        <v>0</v>
      </c>
      <c r="AG32" s="240">
        <f t="shared" si="16"/>
        <v>0</v>
      </c>
      <c r="AH32" s="242">
        <f t="shared" si="17"/>
        <v>0</v>
      </c>
      <c r="AI32" s="245"/>
      <c r="AJ32" s="245"/>
      <c r="AK32" s="245"/>
      <c r="AL32" s="420"/>
      <c r="AM32" s="472"/>
      <c r="AN32" s="240">
        <f t="shared" si="0"/>
        <v>0</v>
      </c>
      <c r="AO32" s="240">
        <f t="shared" si="1"/>
        <v>0</v>
      </c>
      <c r="AP32" s="240">
        <f t="shared" si="2"/>
        <v>0</v>
      </c>
      <c r="AQ32" s="242">
        <f t="shared" si="18"/>
        <v>0</v>
      </c>
      <c r="AR32" s="245"/>
      <c r="AS32" s="245"/>
      <c r="AT32" s="245"/>
      <c r="AU32" s="420"/>
      <c r="BA32" s="189"/>
      <c r="BB32" s="189"/>
      <c r="BC32" s="189"/>
      <c r="BD32" s="189"/>
      <c r="BE32" s="189"/>
      <c r="BG32" s="145" t="e">
        <f>IF($K32&gt;=0,+SUM(L$9:$L32)-$B32+Nov!$AZ$40+SUM(AQ$9:$AQ32)," ")</f>
        <v>#VALUE!</v>
      </c>
      <c r="BH32" s="144" t="e">
        <f t="shared" si="19"/>
        <v>#VALUE!</v>
      </c>
      <c r="BI32" s="146" t="e">
        <f t="shared" si="20"/>
        <v>#VALUE!</v>
      </c>
      <c r="BJ32" s="146" t="e">
        <f t="shared" si="21"/>
        <v>#VALUE!</v>
      </c>
      <c r="BK32" s="146" t="e">
        <f t="shared" si="22"/>
        <v>#VALUE!</v>
      </c>
      <c r="BL32" s="164" t="str">
        <f t="shared" si="3"/>
        <v/>
      </c>
      <c r="BM32" s="157" t="str">
        <f t="shared" si="23"/>
        <v/>
      </c>
      <c r="BN32">
        <f t="shared" si="4"/>
        <v>1</v>
      </c>
    </row>
    <row r="33" spans="1:67" ht="15.95" customHeight="1" x14ac:dyDescent="0.25">
      <c r="A33" s="83"/>
      <c r="B33" s="79">
        <f>IF($I33&lt;&gt;"",IF(WEEKDAY($I33,2)&lt;6,IF(VLOOKUP(WEEKDAY($I33,2),InputUge,3)&gt;0,IF($A33="",VLOOKUP(WEEKDAY($I33,2),InputUge,3)+MAX(B$8:B32),IF($A33&lt;VLOOKUP(WEEKDAY($I33,2),InputUge,3),$A33+MAX(B$8:B32),VLOOKUP(WEEKDAY($I33,2),InputUge,3)+MAX(B$8:B32))),""),""),"")</f>
        <v>124.48333333333332</v>
      </c>
      <c r="C33" s="144">
        <f t="shared" si="5"/>
        <v>1</v>
      </c>
      <c r="D33" s="146">
        <f t="shared" si="6"/>
        <v>124</v>
      </c>
      <c r="E33" s="146">
        <f t="shared" si="7"/>
        <v>0.48333333333332007</v>
      </c>
      <c r="F33" s="146">
        <f t="shared" si="8"/>
        <v>0.28999999999999204</v>
      </c>
      <c r="G33" s="261">
        <f t="shared" si="28"/>
        <v>124.28999999999999</v>
      </c>
      <c r="H33" s="4">
        <v>25</v>
      </c>
      <c r="I33" s="16">
        <f t="shared" si="9"/>
        <v>41603</v>
      </c>
      <c r="J33" s="6">
        <v>0.34826388888888887</v>
      </c>
      <c r="K33" s="6">
        <v>0.64236111111111105</v>
      </c>
      <c r="L33" s="5">
        <f>IF(K33&gt;0,ROUND(((K33-J33)*24)-SUM(BR33:BS33)+BT33,2)+IF(Fredagsfrokost="n",IF(WEEKDAY($I33,2)=5,IF(K33&gt;=0.5,IF(K33&lt;=13/24,0,0),0),0),0),IF(AW33&gt;0,AW33,""))</f>
        <v>7.06</v>
      </c>
      <c r="M33" s="141">
        <f t="shared" si="37"/>
        <v>7</v>
      </c>
      <c r="N33" s="141">
        <f t="shared" si="38"/>
        <v>5.9999999999999609E-2</v>
      </c>
      <c r="O33" s="141">
        <f t="shared" si="39"/>
        <v>3.5999999999999761E-2</v>
      </c>
      <c r="P33" s="162">
        <f t="shared" si="40"/>
        <v>7.0359999999999996</v>
      </c>
      <c r="Q33" s="591"/>
      <c r="R33" s="592"/>
      <c r="S33" s="592"/>
      <c r="T33" s="593"/>
      <c r="U33" s="417"/>
      <c r="V33" s="240">
        <f t="shared" si="10"/>
        <v>0</v>
      </c>
      <c r="W33" s="240">
        <f t="shared" si="11"/>
        <v>0</v>
      </c>
      <c r="X33" s="240">
        <f t="shared" si="12"/>
        <v>0</v>
      </c>
      <c r="Y33" s="242">
        <f t="shared" si="13"/>
        <v>0</v>
      </c>
      <c r="Z33" s="417"/>
      <c r="AA33" s="417"/>
      <c r="AB33" s="417"/>
      <c r="AC33" s="417"/>
      <c r="AD33" s="417"/>
      <c r="AE33" s="240">
        <f t="shared" si="14"/>
        <v>0</v>
      </c>
      <c r="AF33" s="240">
        <f t="shared" si="15"/>
        <v>0</v>
      </c>
      <c r="AG33" s="240">
        <f t="shared" si="16"/>
        <v>0</v>
      </c>
      <c r="AH33" s="242">
        <f t="shared" si="17"/>
        <v>0</v>
      </c>
      <c r="AI33" s="245"/>
      <c r="AJ33" s="245"/>
      <c r="AK33" s="245"/>
      <c r="AL33" s="420"/>
      <c r="AM33" s="472"/>
      <c r="AN33" s="240">
        <f t="shared" si="0"/>
        <v>0</v>
      </c>
      <c r="AO33" s="240">
        <f t="shared" si="1"/>
        <v>0</v>
      </c>
      <c r="AP33" s="240">
        <f t="shared" si="2"/>
        <v>0</v>
      </c>
      <c r="AQ33" s="242">
        <f t="shared" si="18"/>
        <v>0</v>
      </c>
      <c r="AR33" s="245"/>
      <c r="AS33" s="245"/>
      <c r="AT33" s="245"/>
      <c r="AU33" s="420"/>
      <c r="BA33" s="189"/>
      <c r="BB33" s="189"/>
      <c r="BC33" s="189"/>
      <c r="BD33" s="189"/>
      <c r="BE33" s="189"/>
      <c r="BG33" s="145">
        <f>IF($K33&gt;=0,+SUM(L$9:$L33)-$B33+Nov!$AZ$40+SUM(AQ$9:$AQ33)," ")</f>
        <v>-3.33333333330188E-3</v>
      </c>
      <c r="BH33" s="144">
        <f t="shared" si="19"/>
        <v>-1</v>
      </c>
      <c r="BI33" s="146">
        <f t="shared" si="20"/>
        <v>0</v>
      </c>
      <c r="BJ33" s="146">
        <f t="shared" si="21"/>
        <v>-3.33333333330188E-3</v>
      </c>
      <c r="BK33" s="146">
        <f t="shared" si="22"/>
        <v>-1.999999999981128E-3</v>
      </c>
      <c r="BL33" s="164">
        <f t="shared" si="3"/>
        <v>-1.999999999981128E-3</v>
      </c>
      <c r="BM33" s="157">
        <f t="shared" si="23"/>
        <v>7.0359999999999996</v>
      </c>
      <c r="BN33">
        <f t="shared" si="4"/>
        <v>2</v>
      </c>
    </row>
    <row r="34" spans="1:67" ht="15.95" customHeight="1" x14ac:dyDescent="0.25">
      <c r="A34" s="83"/>
      <c r="B34" s="79">
        <f>IF($I34&lt;&gt;"",IF(WEEKDAY($I34,2)&lt;6,IF(VLOOKUP(WEEKDAY($I34,2),InputUge,3)&gt;0,IF($A34="",VLOOKUP(WEEKDAY($I34,2),InputUge,3)+MAX(B$8:B33),IF($A34&lt;VLOOKUP(WEEKDAY($I34,2),InputUge,3),$A34+MAX(B$8:B33),VLOOKUP(WEEKDAY($I34,2),InputUge,3)+MAX(B$8:B33))),""),""),"")</f>
        <v>131.54999999999998</v>
      </c>
      <c r="C34" s="144">
        <f t="shared" si="5"/>
        <v>1</v>
      </c>
      <c r="D34" s="146">
        <f t="shared" si="6"/>
        <v>131</v>
      </c>
      <c r="E34" s="146">
        <f t="shared" si="7"/>
        <v>0.54999999999998295</v>
      </c>
      <c r="F34" s="146">
        <f t="shared" si="8"/>
        <v>0.3299999999999898</v>
      </c>
      <c r="G34" s="261">
        <f t="shared" si="28"/>
        <v>131.32999999999998</v>
      </c>
      <c r="H34" s="4">
        <v>26</v>
      </c>
      <c r="I34" s="16">
        <f t="shared" si="9"/>
        <v>41604</v>
      </c>
      <c r="J34" s="6">
        <v>0.34791666666666665</v>
      </c>
      <c r="K34" s="6">
        <v>0.64236111111111105</v>
      </c>
      <c r="L34" s="5">
        <f>IF(K34&gt;0,ROUND(((K34-J34)*24)-SUM(BR34:BS34)+BT34,2)+IF(Fredagsfrokost="n",IF(WEEKDAY($I34,2)=5,IF(K34&gt;=0.5,IF(K34&lt;=13/24,0,0),0),0),0),IF(AW34&gt;0,AW34,""))</f>
        <v>7.07</v>
      </c>
      <c r="M34" s="141">
        <f t="shared" si="37"/>
        <v>7</v>
      </c>
      <c r="N34" s="141">
        <f t="shared" si="38"/>
        <v>7.0000000000000284E-2</v>
      </c>
      <c r="O34" s="141">
        <f t="shared" si="39"/>
        <v>4.2000000000000169E-2</v>
      </c>
      <c r="P34" s="162">
        <f t="shared" si="40"/>
        <v>7.0419999999999998</v>
      </c>
      <c r="Q34" s="591"/>
      <c r="R34" s="592"/>
      <c r="S34" s="592"/>
      <c r="T34" s="593"/>
      <c r="U34" s="417"/>
      <c r="V34" s="240">
        <f t="shared" si="10"/>
        <v>0</v>
      </c>
      <c r="W34" s="240">
        <f t="shared" si="11"/>
        <v>0</v>
      </c>
      <c r="X34" s="240">
        <f t="shared" si="12"/>
        <v>0</v>
      </c>
      <c r="Y34" s="242">
        <f t="shared" si="13"/>
        <v>0</v>
      </c>
      <c r="Z34" s="417"/>
      <c r="AA34" s="417"/>
      <c r="AB34" s="417"/>
      <c r="AC34" s="417"/>
      <c r="AD34" s="417"/>
      <c r="AE34" s="240">
        <f t="shared" si="14"/>
        <v>0</v>
      </c>
      <c r="AF34" s="240">
        <f t="shared" si="15"/>
        <v>0</v>
      </c>
      <c r="AG34" s="240">
        <f t="shared" si="16"/>
        <v>0</v>
      </c>
      <c r="AH34" s="242">
        <f t="shared" si="17"/>
        <v>0</v>
      </c>
      <c r="AI34" s="245"/>
      <c r="AJ34" s="245"/>
      <c r="AK34" s="245"/>
      <c r="AL34" s="420"/>
      <c r="AM34" s="472"/>
      <c r="AN34" s="240">
        <f t="shared" si="0"/>
        <v>0</v>
      </c>
      <c r="AO34" s="240">
        <f t="shared" si="1"/>
        <v>0</v>
      </c>
      <c r="AP34" s="240">
        <f t="shared" si="2"/>
        <v>0</v>
      </c>
      <c r="AQ34" s="242">
        <f t="shared" si="18"/>
        <v>0</v>
      </c>
      <c r="AR34" s="245"/>
      <c r="AS34" s="245"/>
      <c r="AT34" s="245"/>
      <c r="AU34" s="420"/>
      <c r="BA34" s="189"/>
      <c r="BB34" s="189"/>
      <c r="BC34" s="189"/>
      <c r="BD34" s="189"/>
      <c r="BE34" s="189"/>
      <c r="BG34" s="145">
        <f>IF($K34&gt;=0,+SUM(L$9:$L34)-$B34+Nov!$AZ$40+SUM(AQ$9:$AQ34)," ")</f>
        <v>2.8421709430404007E-14</v>
      </c>
      <c r="BH34" s="144">
        <f t="shared" si="19"/>
        <v>1</v>
      </c>
      <c r="BI34" s="146">
        <f t="shared" si="20"/>
        <v>0</v>
      </c>
      <c r="BJ34" s="146">
        <f t="shared" si="21"/>
        <v>2.8421709430404007E-14</v>
      </c>
      <c r="BK34" s="146">
        <f t="shared" si="22"/>
        <v>1.7053025658242404E-14</v>
      </c>
      <c r="BL34" s="164">
        <f>IF(BN34=2,+BK34+BI34,"")</f>
        <v>1.7053025658242404E-14</v>
      </c>
      <c r="BM34" s="157">
        <f>+P34</f>
        <v>7.0419999999999998</v>
      </c>
      <c r="BN34">
        <f t="shared" si="4"/>
        <v>2</v>
      </c>
    </row>
    <row r="35" spans="1:67" ht="15.95" customHeight="1" x14ac:dyDescent="0.25">
      <c r="A35" s="83"/>
      <c r="B35" s="79">
        <f>IF($I35&lt;&gt;"",IF(WEEKDAY($I35,2)&lt;6,IF(VLOOKUP(WEEKDAY($I35,2),InputUge,3)&gt;0,IF($A35="",VLOOKUP(WEEKDAY($I35,2),InputUge,3)+MAX(B$8:B34),IF($A35&lt;VLOOKUP(WEEKDAY($I35,2),InputUge,3),$A35+MAX(B$8:B34),VLOOKUP(WEEKDAY($I35,2),InputUge,3)+MAX(B$8:B34))),""),""),"")</f>
        <v>138.61666666666665</v>
      </c>
      <c r="C35" s="144">
        <f t="shared" si="5"/>
        <v>1</v>
      </c>
      <c r="D35" s="146">
        <f t="shared" si="6"/>
        <v>138</v>
      </c>
      <c r="E35" s="146">
        <f t="shared" si="7"/>
        <v>0.61666666666664582</v>
      </c>
      <c r="F35" s="146">
        <f t="shared" si="8"/>
        <v>0.36999999999998751</v>
      </c>
      <c r="G35" s="261">
        <f t="shared" si="28"/>
        <v>138.36999999999998</v>
      </c>
      <c r="H35" s="4">
        <v>27</v>
      </c>
      <c r="I35" s="16">
        <f t="shared" si="9"/>
        <v>41605</v>
      </c>
      <c r="J35" s="6">
        <v>0.34791666666666665</v>
      </c>
      <c r="K35" s="6">
        <v>0.64236111111111105</v>
      </c>
      <c r="L35" s="5">
        <f>IF(K35&gt;0,ROUND(((K35-J35)*24)-SUM(BR35:BS35)+BT35,2)+IF(Fredagsfrokost="n",IF(WEEKDAY($I35,2)=5,IF(K35&gt;=0.5,IF(K35&lt;=13/24,0,0),0),0),0),IF(AW35&gt;0,AW35,""))</f>
        <v>7.07</v>
      </c>
      <c r="M35" s="141">
        <f t="shared" si="37"/>
        <v>7</v>
      </c>
      <c r="N35" s="141">
        <f t="shared" si="38"/>
        <v>7.0000000000000284E-2</v>
      </c>
      <c r="O35" s="141">
        <f t="shared" si="39"/>
        <v>4.2000000000000169E-2</v>
      </c>
      <c r="P35" s="162">
        <f t="shared" si="40"/>
        <v>7.0419999999999998</v>
      </c>
      <c r="Q35" s="591"/>
      <c r="R35" s="592"/>
      <c r="S35" s="592"/>
      <c r="T35" s="593"/>
      <c r="U35" s="417"/>
      <c r="V35" s="240">
        <f t="shared" si="10"/>
        <v>0</v>
      </c>
      <c r="W35" s="240">
        <f t="shared" si="11"/>
        <v>0</v>
      </c>
      <c r="X35" s="240">
        <f t="shared" si="12"/>
        <v>0</v>
      </c>
      <c r="Y35" s="242">
        <f t="shared" si="13"/>
        <v>0</v>
      </c>
      <c r="Z35" s="417"/>
      <c r="AA35" s="417"/>
      <c r="AB35" s="417"/>
      <c r="AC35" s="417"/>
      <c r="AD35" s="417"/>
      <c r="AE35" s="240">
        <f t="shared" si="14"/>
        <v>0</v>
      </c>
      <c r="AF35" s="240">
        <f t="shared" si="15"/>
        <v>0</v>
      </c>
      <c r="AG35" s="240">
        <f t="shared" si="16"/>
        <v>0</v>
      </c>
      <c r="AH35" s="242">
        <f t="shared" si="17"/>
        <v>0</v>
      </c>
      <c r="AI35" s="245"/>
      <c r="AJ35" s="245"/>
      <c r="AK35" s="245"/>
      <c r="AL35" s="420"/>
      <c r="AM35" s="472"/>
      <c r="AN35" s="240">
        <f t="shared" si="0"/>
        <v>0</v>
      </c>
      <c r="AO35" s="240">
        <f t="shared" si="1"/>
        <v>0</v>
      </c>
      <c r="AP35" s="240">
        <f t="shared" si="2"/>
        <v>0</v>
      </c>
      <c r="AQ35" s="242">
        <f t="shared" si="18"/>
        <v>0</v>
      </c>
      <c r="AR35" s="245"/>
      <c r="AS35" s="245"/>
      <c r="AT35" s="245"/>
      <c r="AU35" s="420"/>
      <c r="BA35" s="189"/>
      <c r="BB35" s="189"/>
      <c r="BC35" s="189"/>
      <c r="BD35" s="189"/>
      <c r="BE35" s="189"/>
      <c r="BG35" s="145">
        <f>IF($K35&gt;=0,+SUM(L$9:$L35)-$B35+Nov!$AZ$40+SUM(AQ$9:$AQ35)," ")</f>
        <v>3.3333333333587234E-3</v>
      </c>
      <c r="BH35" s="144">
        <f t="shared" si="19"/>
        <v>1</v>
      </c>
      <c r="BI35" s="146">
        <f t="shared" si="20"/>
        <v>0</v>
      </c>
      <c r="BJ35" s="146">
        <f t="shared" si="21"/>
        <v>3.3333333333587234E-3</v>
      </c>
      <c r="BK35" s="146">
        <f t="shared" si="22"/>
        <v>2.0000000000152339E-3</v>
      </c>
      <c r="BL35" s="164">
        <f>IF(BN35=2,+BK35+BI35,"")</f>
        <v>2.0000000000152339E-3</v>
      </c>
      <c r="BM35" s="157">
        <f>+P35</f>
        <v>7.0419999999999998</v>
      </c>
      <c r="BN35">
        <f t="shared" si="4"/>
        <v>2</v>
      </c>
    </row>
    <row r="36" spans="1:67" ht="15.95" customHeight="1" x14ac:dyDescent="0.25">
      <c r="A36" s="83"/>
      <c r="B36" s="79">
        <f>IF($I36&lt;&gt;"",IF(WEEKDAY($I36,2)&lt;6,IF(VLOOKUP(WEEKDAY($I36,2),InputUge,3)&gt;0,IF($A36="",VLOOKUP(WEEKDAY($I36,2),InputUge,3)+MAX(B$8:B35),IF($A36&lt;VLOOKUP(WEEKDAY($I36,2),InputUge,3),$A36+MAX(B$8:B35),VLOOKUP(WEEKDAY($I36,2),InputUge,3)+MAX(B$8:B35))),""),""),"")</f>
        <v>148.02666666666664</v>
      </c>
      <c r="C36" s="144">
        <f t="shared" si="5"/>
        <v>1</v>
      </c>
      <c r="D36" s="146">
        <f t="shared" si="6"/>
        <v>148</v>
      </c>
      <c r="E36" s="146">
        <f t="shared" si="7"/>
        <v>2.6666666666642413E-2</v>
      </c>
      <c r="F36" s="146">
        <f t="shared" si="8"/>
        <v>1.5999999999985449E-2</v>
      </c>
      <c r="G36" s="261">
        <f t="shared" si="28"/>
        <v>148.01599999999999</v>
      </c>
      <c r="H36" s="4">
        <v>28</v>
      </c>
      <c r="I36" s="16">
        <f t="shared" si="9"/>
        <v>41606</v>
      </c>
      <c r="J36" s="6">
        <v>0.34791666666666665</v>
      </c>
      <c r="K36" s="6">
        <v>0.73987268518518512</v>
      </c>
      <c r="L36" s="5">
        <f>IF(K36&gt;0,ROUND(((K36-J36)*24)-SUM(BR36:BS36)+BT36,2)+IF(Fredagsfrokost="n",IF(WEEKDAY($I36,2)=5,IF(K36&gt;=0.5,IF(K36&lt;=13/24,0,0),0),0),0),IF(AW36&gt;0,AW36,""))</f>
        <v>9.41</v>
      </c>
      <c r="M36" s="141">
        <f t="shared" si="37"/>
        <v>9</v>
      </c>
      <c r="N36" s="141">
        <f t="shared" si="38"/>
        <v>0.41000000000000014</v>
      </c>
      <c r="O36" s="141">
        <f t="shared" si="39"/>
        <v>0.24600000000000008</v>
      </c>
      <c r="P36" s="162">
        <f t="shared" si="40"/>
        <v>9.2460000000000004</v>
      </c>
      <c r="Q36" s="591"/>
      <c r="R36" s="592"/>
      <c r="S36" s="592"/>
      <c r="T36" s="593"/>
      <c r="U36" s="417"/>
      <c r="V36" s="240">
        <f t="shared" si="10"/>
        <v>0</v>
      </c>
      <c r="W36" s="240">
        <f t="shared" si="11"/>
        <v>0</v>
      </c>
      <c r="X36" s="240">
        <f t="shared" si="12"/>
        <v>0</v>
      </c>
      <c r="Y36" s="242">
        <f t="shared" si="13"/>
        <v>0</v>
      </c>
      <c r="Z36" s="417"/>
      <c r="AA36" s="417"/>
      <c r="AB36" s="417"/>
      <c r="AC36" s="417"/>
      <c r="AD36" s="417"/>
      <c r="AE36" s="240">
        <f t="shared" si="14"/>
        <v>0</v>
      </c>
      <c r="AF36" s="240">
        <f t="shared" si="15"/>
        <v>0</v>
      </c>
      <c r="AG36" s="240">
        <f t="shared" si="16"/>
        <v>0</v>
      </c>
      <c r="AH36" s="242">
        <f t="shared" si="17"/>
        <v>0</v>
      </c>
      <c r="AI36" s="245"/>
      <c r="AJ36" s="245"/>
      <c r="AK36" s="245"/>
      <c r="AL36" s="420"/>
      <c r="AM36" s="472"/>
      <c r="AN36" s="240">
        <f t="shared" si="0"/>
        <v>0</v>
      </c>
      <c r="AO36" s="240">
        <f t="shared" si="1"/>
        <v>0</v>
      </c>
      <c r="AP36" s="240">
        <f t="shared" si="2"/>
        <v>0</v>
      </c>
      <c r="AQ36" s="242">
        <f t="shared" si="18"/>
        <v>0</v>
      </c>
      <c r="AR36" s="245"/>
      <c r="AS36" s="245"/>
      <c r="AT36" s="245"/>
      <c r="AU36" s="420"/>
      <c r="BA36" s="189"/>
      <c r="BB36" s="189"/>
      <c r="BC36" s="189"/>
      <c r="BD36" s="189"/>
      <c r="BE36" s="189"/>
      <c r="BG36" s="145">
        <f>IF($K36&gt;=0,+SUM(L$9:$L36)-$B36+Nov!$AZ$40+SUM(AQ$9:$AQ36)," ")</f>
        <v>3.3333333333587234E-3</v>
      </c>
      <c r="BH36" s="144">
        <f t="shared" si="19"/>
        <v>1</v>
      </c>
      <c r="BI36" s="146">
        <f t="shared" si="20"/>
        <v>0</v>
      </c>
      <c r="BJ36" s="146">
        <f t="shared" si="21"/>
        <v>3.3333333333587234E-3</v>
      </c>
      <c r="BK36" s="146">
        <f t="shared" si="22"/>
        <v>2.0000000000152339E-3</v>
      </c>
      <c r="BL36" s="164">
        <f>IF(BN36=2,+BK36+BI36,"")</f>
        <v>2.0000000000152339E-3</v>
      </c>
      <c r="BM36" s="157">
        <f t="shared" si="23"/>
        <v>9.2460000000000004</v>
      </c>
      <c r="BN36">
        <f t="shared" si="4"/>
        <v>2</v>
      </c>
    </row>
    <row r="37" spans="1:67" ht="15.95" customHeight="1" x14ac:dyDescent="0.25">
      <c r="A37" s="83"/>
      <c r="B37" s="79">
        <f>IF($I37&lt;&gt;"",IF(WEEKDAY($I37,2)&lt;6,IF(VLOOKUP(WEEKDAY($I37,2),InputUge,3)&gt;0,IF($A37="",VLOOKUP(WEEKDAY($I37,2),InputUge,3)+MAX(B$8:B36),IF($A37&lt;VLOOKUP(WEEKDAY($I37,2),InputUge,3),$A37+MAX(B$8:B36),VLOOKUP(WEEKDAY($I37,2),InputUge,3)+MAX(B$8:B36))),""),""),"")</f>
        <v>154.42666666666665</v>
      </c>
      <c r="C37" s="144">
        <f t="shared" si="5"/>
        <v>1</v>
      </c>
      <c r="D37" s="146">
        <f t="shared" si="6"/>
        <v>154</v>
      </c>
      <c r="E37" s="146">
        <f t="shared" si="7"/>
        <v>0.4266666666666481</v>
      </c>
      <c r="F37" s="146">
        <f t="shared" si="8"/>
        <v>0.2559999999999889</v>
      </c>
      <c r="G37" s="261">
        <f t="shared" si="28"/>
        <v>154.256</v>
      </c>
      <c r="H37" s="4">
        <v>29</v>
      </c>
      <c r="I37" s="16">
        <f t="shared" si="9"/>
        <v>41607</v>
      </c>
      <c r="J37" s="6">
        <v>0.34791666666666665</v>
      </c>
      <c r="K37" s="6">
        <v>0.61458333333333337</v>
      </c>
      <c r="L37" s="5">
        <f>IF(K37&gt;0,ROUND(((K37-J37)*24)-SUM(BR37:BS37)+BT37,2)+IF(Fredagsfrokost="n",IF(WEEKDAY($I37,2)=5,IF(K37&gt;=0.5,IF(K37&lt;=13/24,0,0),0),0),0),IF(AW37&gt;0,AW37,""))</f>
        <v>6.4</v>
      </c>
      <c r="M37" s="141">
        <f t="shared" si="37"/>
        <v>6</v>
      </c>
      <c r="N37" s="141">
        <f t="shared" si="38"/>
        <v>0.40000000000000036</v>
      </c>
      <c r="O37" s="141">
        <f t="shared" si="39"/>
        <v>0.24000000000000021</v>
      </c>
      <c r="P37" s="162">
        <f t="shared" si="40"/>
        <v>6.24</v>
      </c>
      <c r="Q37" s="591"/>
      <c r="R37" s="592"/>
      <c r="S37" s="592"/>
      <c r="T37" s="593"/>
      <c r="U37" s="417"/>
      <c r="V37" s="240">
        <f t="shared" si="10"/>
        <v>0</v>
      </c>
      <c r="W37" s="240">
        <f t="shared" si="11"/>
        <v>0</v>
      </c>
      <c r="X37" s="240">
        <f t="shared" si="12"/>
        <v>0</v>
      </c>
      <c r="Y37" s="242">
        <f t="shared" si="13"/>
        <v>0</v>
      </c>
      <c r="Z37" s="417"/>
      <c r="AA37" s="417"/>
      <c r="AB37" s="417"/>
      <c r="AC37" s="417"/>
      <c r="AD37" s="417"/>
      <c r="AE37" s="240">
        <f t="shared" si="14"/>
        <v>0</v>
      </c>
      <c r="AF37" s="240">
        <f t="shared" si="15"/>
        <v>0</v>
      </c>
      <c r="AG37" s="240">
        <f t="shared" si="16"/>
        <v>0</v>
      </c>
      <c r="AH37" s="242">
        <f t="shared" si="17"/>
        <v>0</v>
      </c>
      <c r="AI37" s="245"/>
      <c r="AJ37" s="245"/>
      <c r="AK37" s="245"/>
      <c r="AL37" s="420"/>
      <c r="AM37" s="472"/>
      <c r="AN37" s="240">
        <f t="shared" si="0"/>
        <v>0</v>
      </c>
      <c r="AO37" s="240">
        <f t="shared" si="1"/>
        <v>0</v>
      </c>
      <c r="AP37" s="240">
        <f t="shared" si="2"/>
        <v>0</v>
      </c>
      <c r="AQ37" s="242">
        <f t="shared" si="18"/>
        <v>0</v>
      </c>
      <c r="AR37" s="245"/>
      <c r="AS37" s="245"/>
      <c r="AT37" s="245"/>
      <c r="AU37" s="420"/>
      <c r="BA37" s="189"/>
      <c r="BB37" s="189"/>
      <c r="BC37" s="189"/>
      <c r="BD37" s="189"/>
      <c r="BE37" s="189"/>
      <c r="BG37" s="145">
        <f>IF($K37&gt;=0,+SUM(L$9:$L37)-$B37+Nov!$AZ$40+SUM(AQ$9:$AQ37)," ")</f>
        <v>3.3333333333587234E-3</v>
      </c>
      <c r="BH37" s="144">
        <f t="shared" si="19"/>
        <v>1</v>
      </c>
      <c r="BI37" s="146">
        <f t="shared" si="20"/>
        <v>0</v>
      </c>
      <c r="BJ37" s="146">
        <f t="shared" si="21"/>
        <v>3.3333333333587234E-3</v>
      </c>
      <c r="BK37" s="146">
        <f t="shared" si="22"/>
        <v>2.0000000000152339E-3</v>
      </c>
      <c r="BL37" s="164">
        <f t="shared" si="3"/>
        <v>2.0000000000152339E-3</v>
      </c>
      <c r="BM37" s="157">
        <f t="shared" si="23"/>
        <v>6.24</v>
      </c>
      <c r="BN37">
        <f t="shared" si="4"/>
        <v>2</v>
      </c>
    </row>
    <row r="38" spans="1:67" ht="15.95" customHeight="1" thickBot="1" x14ac:dyDescent="0.3">
      <c r="A38" s="85"/>
      <c r="B38" s="79" t="str">
        <f>IF($I38&lt;&gt;"",IF(WEEKDAY($I38,2)&lt;6,IF(VLOOKUP(WEEKDAY($I38,2),InputUge,3)&gt;0,IF($A38="",VLOOKUP(WEEKDAY($I38,2),InputUge,3)+MAX(B$8:B37),IF($A38&lt;VLOOKUP(WEEKDAY($I38,2),InputUge,3),$A38+MAX(B$8:B37),VLOOKUP(WEEKDAY($I38,2),InputUge,3)+MAX(B$8:B37))),""),""),"")</f>
        <v/>
      </c>
      <c r="C38" s="144">
        <f t="shared" si="5"/>
        <v>1</v>
      </c>
      <c r="D38" s="146" t="e">
        <f t="shared" si="6"/>
        <v>#VALUE!</v>
      </c>
      <c r="E38" s="146" t="e">
        <f t="shared" si="7"/>
        <v>#VALUE!</v>
      </c>
      <c r="F38" s="146" t="e">
        <f t="shared" si="8"/>
        <v>#VALUE!</v>
      </c>
      <c r="G38" s="261"/>
      <c r="H38" s="4">
        <v>30</v>
      </c>
      <c r="I38" s="16">
        <f t="shared" si="9"/>
        <v>41608</v>
      </c>
      <c r="J38" s="6"/>
      <c r="K38" s="6"/>
      <c r="L38" s="5"/>
      <c r="M38" s="141"/>
      <c r="N38" s="141"/>
      <c r="O38" s="141"/>
      <c r="P38" s="162"/>
      <c r="Q38" s="591"/>
      <c r="R38" s="592"/>
      <c r="S38" s="592"/>
      <c r="T38" s="593"/>
      <c r="U38" s="417"/>
      <c r="V38" s="240">
        <f>FLOOR(U38,1)</f>
        <v>0</v>
      </c>
      <c r="W38" s="240">
        <f>+U38-V38</f>
        <v>0</v>
      </c>
      <c r="X38" s="240">
        <f>+W38/60*100</f>
        <v>0</v>
      </c>
      <c r="Y38" s="242">
        <f>+X38+V38</f>
        <v>0</v>
      </c>
      <c r="Z38" s="417"/>
      <c r="AA38" s="417"/>
      <c r="AB38" s="417"/>
      <c r="AC38" s="417"/>
      <c r="AD38" s="417"/>
      <c r="AE38" s="240">
        <f t="shared" si="14"/>
        <v>0</v>
      </c>
      <c r="AF38" s="240">
        <f t="shared" si="15"/>
        <v>0</v>
      </c>
      <c r="AG38" s="240">
        <f t="shared" si="16"/>
        <v>0</v>
      </c>
      <c r="AH38" s="242">
        <f t="shared" si="17"/>
        <v>0</v>
      </c>
      <c r="AI38" s="245"/>
      <c r="AJ38" s="245"/>
      <c r="AK38" s="245"/>
      <c r="AL38" s="420"/>
      <c r="AM38" s="472"/>
      <c r="AN38" s="240">
        <f t="shared" si="0"/>
        <v>0</v>
      </c>
      <c r="AO38" s="240">
        <f t="shared" si="1"/>
        <v>0</v>
      </c>
      <c r="AP38" s="240">
        <f t="shared" si="2"/>
        <v>0</v>
      </c>
      <c r="AQ38" s="242">
        <f t="shared" si="18"/>
        <v>0</v>
      </c>
      <c r="AR38" s="245"/>
      <c r="AS38" s="245"/>
      <c r="AT38" s="245"/>
      <c r="AU38" s="420"/>
      <c r="BA38" s="189"/>
      <c r="BB38" s="189"/>
      <c r="BC38" s="189"/>
      <c r="BD38" s="189"/>
      <c r="BE38" s="189"/>
      <c r="BG38" s="145" t="e">
        <f>IF($K38&gt;=0,+SUM(L$9:$L38)-$B38+Nov!$AZ$40+SUM(AQ$9:$AQ38)," ")</f>
        <v>#VALUE!</v>
      </c>
      <c r="BH38" s="144" t="e">
        <f t="shared" si="19"/>
        <v>#VALUE!</v>
      </c>
      <c r="BI38" s="146" t="e">
        <f t="shared" si="20"/>
        <v>#VALUE!</v>
      </c>
      <c r="BJ38" s="146" t="e">
        <f t="shared" si="21"/>
        <v>#VALUE!</v>
      </c>
      <c r="BK38" s="146" t="e">
        <f t="shared" si="22"/>
        <v>#VALUE!</v>
      </c>
      <c r="BL38" s="164"/>
      <c r="BM38" s="157">
        <f t="shared" si="23"/>
        <v>0</v>
      </c>
      <c r="BN38">
        <f t="shared" si="4"/>
        <v>2</v>
      </c>
    </row>
    <row r="39" spans="1:67" ht="15.95" customHeight="1" thickBot="1" x14ac:dyDescent="0.3">
      <c r="B39" s="80">
        <f>MAX($B$8:$B38)</f>
        <v>154.42666666666665</v>
      </c>
      <c r="C39" s="80"/>
      <c r="D39" s="80"/>
      <c r="E39" s="80"/>
      <c r="F39" s="80"/>
      <c r="G39" s="279">
        <f>MAX($G$8:$G38)</f>
        <v>154.256</v>
      </c>
      <c r="H39" s="10" t="s">
        <v>1</v>
      </c>
      <c r="I39" s="14"/>
      <c r="J39" s="254">
        <f>SUM(L39:L39)-SUM(Q40:R40)</f>
        <v>154.43</v>
      </c>
      <c r="K39" s="121"/>
      <c r="L39" s="76">
        <f>SUM(L9:L38)</f>
        <v>154.43</v>
      </c>
      <c r="M39" s="141">
        <f>FLOOR(L39,1)</f>
        <v>154</v>
      </c>
      <c r="N39" s="141">
        <f>+L39-M39</f>
        <v>0.43000000000000682</v>
      </c>
      <c r="O39" s="141">
        <f>+N39/100*60</f>
        <v>0.25800000000000411</v>
      </c>
      <c r="P39" s="276">
        <f>+O39+M39</f>
        <v>154.25800000000001</v>
      </c>
      <c r="Q39" s="657"/>
      <c r="R39" s="658"/>
      <c r="S39" s="659"/>
      <c r="T39" s="660"/>
      <c r="U39" s="421">
        <f>+AC39</f>
        <v>0</v>
      </c>
      <c r="V39" s="421"/>
      <c r="W39" s="421"/>
      <c r="X39" s="421"/>
      <c r="Y39" s="422">
        <f>SUM(Y8:Y38)</f>
        <v>0</v>
      </c>
      <c r="Z39" s="252">
        <f>FLOOR(Y39,1)</f>
        <v>0</v>
      </c>
      <c r="AA39" s="252">
        <f>+Y39-Z39</f>
        <v>0</v>
      </c>
      <c r="AB39" s="252">
        <f>+AA39/100*60</f>
        <v>0</v>
      </c>
      <c r="AC39" s="252">
        <f>+AB39+Z39</f>
        <v>0</v>
      </c>
      <c r="AD39" s="421">
        <f>+AL39</f>
        <v>0</v>
      </c>
      <c r="AE39" s="422"/>
      <c r="AF39" s="422"/>
      <c r="AG39" s="422"/>
      <c r="AH39" s="422">
        <f>SUM(AH8:AH38)</f>
        <v>0</v>
      </c>
      <c r="AI39" s="252">
        <f>FLOOR(AH39,1)</f>
        <v>0</v>
      </c>
      <c r="AJ39" s="252">
        <f>+AH39-AI39</f>
        <v>0</v>
      </c>
      <c r="AK39" s="252">
        <f>+AJ39/100*60</f>
        <v>0</v>
      </c>
      <c r="AL39" s="252">
        <f>+AK39+AI39</f>
        <v>0</v>
      </c>
      <c r="AM39" s="473">
        <f>+AU39</f>
        <v>0</v>
      </c>
      <c r="AN39" s="480"/>
      <c r="AO39" s="182"/>
      <c r="AP39" s="182"/>
      <c r="AQ39" s="182">
        <f>SUM(AQ8:AQ38)</f>
        <v>0</v>
      </c>
      <c r="AR39" s="141">
        <f>FLOOR(AQ39,1)</f>
        <v>0</v>
      </c>
      <c r="AS39" s="141">
        <f>+AQ39-AR39</f>
        <v>0</v>
      </c>
      <c r="AT39" s="141">
        <f>+AS39/100*60</f>
        <v>0</v>
      </c>
      <c r="AU39" s="162">
        <f>+AT39+AR39</f>
        <v>0</v>
      </c>
      <c r="BA39" s="144">
        <f t="shared" ref="BA39:BA44" si="41">IF(AZ39&lt;0,-1,1)</f>
        <v>1</v>
      </c>
      <c r="BB39" s="146">
        <f t="shared" ref="BB39:BB44" si="42">FLOOR(AZ39,BA39)</f>
        <v>0</v>
      </c>
      <c r="BC39" s="191"/>
      <c r="BD39" s="191"/>
      <c r="BE39" s="191"/>
      <c r="BG39" s="145"/>
      <c r="BH39" s="144"/>
      <c r="BI39" s="146"/>
      <c r="BJ39" s="146"/>
      <c r="BK39" s="146"/>
      <c r="BL39" s="164"/>
      <c r="BM39" s="157"/>
      <c r="BO39" s="15"/>
    </row>
    <row r="40" spans="1:67" s="258" customFormat="1" ht="15.95" customHeight="1" x14ac:dyDescent="0.25">
      <c r="H40" s="674"/>
      <c r="I40" s="674"/>
      <c r="J40" s="675"/>
      <c r="K40" s="675"/>
      <c r="L40" s="675"/>
      <c r="M40" s="403"/>
      <c r="N40" s="403"/>
      <c r="O40" s="403"/>
      <c r="P40" s="403"/>
      <c r="Q40" s="404"/>
      <c r="R40" s="404"/>
      <c r="S40" s="664" t="s">
        <v>10</v>
      </c>
      <c r="T40" s="665"/>
      <c r="U40" s="665"/>
      <c r="V40" s="665"/>
      <c r="W40" s="665"/>
      <c r="X40" s="665"/>
      <c r="Y40" s="665"/>
      <c r="Z40" s="665"/>
      <c r="AA40" s="665"/>
      <c r="AB40" s="665"/>
      <c r="AC40" s="665"/>
      <c r="AD40" s="666"/>
      <c r="AE40" s="666"/>
      <c r="AF40" s="666"/>
      <c r="AG40" s="666"/>
      <c r="AH40" s="666"/>
      <c r="AI40" s="666"/>
      <c r="AJ40" s="666"/>
      <c r="AK40" s="666"/>
      <c r="AL40" s="666"/>
      <c r="AM40" s="667"/>
      <c r="AN40" s="405"/>
      <c r="AO40" s="405"/>
      <c r="AP40" s="405"/>
      <c r="AQ40" s="405"/>
      <c r="AR40" s="405"/>
      <c r="AS40" s="405"/>
      <c r="AT40" s="405"/>
      <c r="AU40" s="405"/>
      <c r="AV40" s="676">
        <f>+Okt!AV44</f>
        <v>0</v>
      </c>
      <c r="AW40" s="676"/>
      <c r="AX40" s="677"/>
      <c r="AY40"/>
      <c r="AZ40" s="406">
        <f>+Okt!AZ44</f>
        <v>0</v>
      </c>
      <c r="BA40" s="407">
        <f t="shared" si="41"/>
        <v>1</v>
      </c>
      <c r="BB40" s="408">
        <f t="shared" si="42"/>
        <v>0</v>
      </c>
      <c r="BC40" s="162">
        <f>+AZ40-BB40</f>
        <v>0</v>
      </c>
      <c r="BD40" s="162">
        <f>+BC40/100*60</f>
        <v>0</v>
      </c>
      <c r="BE40" s="162">
        <f>+BD40+BB40</f>
        <v>0</v>
      </c>
      <c r="BG40" s="409"/>
      <c r="BH40" s="410"/>
      <c r="BI40" s="410"/>
      <c r="BJ40" s="410"/>
      <c r="BK40" s="410"/>
      <c r="BL40" s="411"/>
    </row>
    <row r="41" spans="1:67" s="258" customFormat="1" ht="15.95" customHeight="1" x14ac:dyDescent="0.25">
      <c r="H41" s="412"/>
      <c r="I41" s="412"/>
      <c r="J41" s="412"/>
      <c r="K41" s="412"/>
      <c r="L41" s="413"/>
      <c r="M41" s="413"/>
      <c r="N41" s="413"/>
      <c r="O41" s="413"/>
      <c r="P41" s="413"/>
      <c r="Q41" s="413"/>
      <c r="R41" s="413"/>
      <c r="S41" s="668" t="s">
        <v>11</v>
      </c>
      <c r="T41" s="669"/>
      <c r="U41" s="669"/>
      <c r="V41" s="669"/>
      <c r="W41" s="669"/>
      <c r="X41" s="669"/>
      <c r="Y41" s="669"/>
      <c r="Z41" s="669"/>
      <c r="AA41" s="669"/>
      <c r="AB41" s="669"/>
      <c r="AC41" s="669"/>
      <c r="AD41" s="670"/>
      <c r="AE41" s="670"/>
      <c r="AF41" s="670"/>
      <c r="AG41" s="670"/>
      <c r="AH41" s="670"/>
      <c r="AI41" s="670"/>
      <c r="AJ41" s="670"/>
      <c r="AK41" s="670"/>
      <c r="AL41" s="670"/>
      <c r="AM41" s="670"/>
      <c r="AN41" s="414"/>
      <c r="AO41" s="414"/>
      <c r="AP41" s="414"/>
      <c r="AQ41" s="414"/>
      <c r="AR41" s="414"/>
      <c r="AS41" s="414"/>
      <c r="AT41" s="414"/>
      <c r="AU41" s="414"/>
      <c r="AV41" s="655">
        <f>+BE41</f>
        <v>154.25800000000001</v>
      </c>
      <c r="AW41" s="655"/>
      <c r="AX41" s="656"/>
      <c r="AZ41" s="406">
        <f>+J39+AQ39</f>
        <v>154.43</v>
      </c>
      <c r="BA41" s="407">
        <f t="shared" si="41"/>
        <v>1</v>
      </c>
      <c r="BB41" s="408">
        <f t="shared" si="42"/>
        <v>154</v>
      </c>
      <c r="BC41" s="162">
        <f>+AZ41-BB41</f>
        <v>0.43000000000000682</v>
      </c>
      <c r="BD41" s="162">
        <f>+BC41/100*60</f>
        <v>0.25800000000000411</v>
      </c>
      <c r="BE41" s="162">
        <f>+BD41+BB41</f>
        <v>154.25800000000001</v>
      </c>
      <c r="BG41" s="415"/>
      <c r="BH41" s="415"/>
      <c r="BI41" s="415"/>
      <c r="BJ41" s="415"/>
      <c r="BK41" s="415"/>
      <c r="BL41" s="415"/>
    </row>
    <row r="42" spans="1:67" s="258" customFormat="1" ht="15.95" customHeight="1" x14ac:dyDescent="0.25">
      <c r="H42" s="673"/>
      <c r="I42" s="673"/>
      <c r="J42" s="673"/>
      <c r="K42" s="673"/>
      <c r="L42" s="673"/>
      <c r="M42" s="673"/>
      <c r="N42" s="673"/>
      <c r="O42" s="673"/>
      <c r="P42" s="673"/>
      <c r="Q42" s="673"/>
      <c r="R42" s="673"/>
      <c r="S42" s="668" t="s">
        <v>12</v>
      </c>
      <c r="T42" s="669"/>
      <c r="U42" s="669"/>
      <c r="V42" s="669"/>
      <c r="W42" s="669"/>
      <c r="X42" s="669"/>
      <c r="Y42" s="669"/>
      <c r="Z42" s="669"/>
      <c r="AA42" s="669"/>
      <c r="AB42" s="669"/>
      <c r="AC42" s="669"/>
      <c r="AD42" s="670"/>
      <c r="AE42" s="670"/>
      <c r="AF42" s="670"/>
      <c r="AG42" s="670"/>
      <c r="AH42" s="670"/>
      <c r="AI42" s="670"/>
      <c r="AJ42" s="670"/>
      <c r="AK42" s="670"/>
      <c r="AL42" s="670"/>
      <c r="AM42" s="670"/>
      <c r="AN42" s="414"/>
      <c r="AO42" s="414"/>
      <c r="AP42" s="414"/>
      <c r="AQ42" s="414"/>
      <c r="AR42" s="414"/>
      <c r="AS42" s="414"/>
      <c r="AT42" s="414"/>
      <c r="AU42" s="414"/>
      <c r="AV42" s="653">
        <f>+BE42</f>
        <v>154.256</v>
      </c>
      <c r="AW42" s="653"/>
      <c r="AX42" s="654"/>
      <c r="AZ42" s="406">
        <f>+B39</f>
        <v>154.42666666666665</v>
      </c>
      <c r="BA42" s="407">
        <f t="shared" si="41"/>
        <v>1</v>
      </c>
      <c r="BB42" s="408">
        <f t="shared" si="42"/>
        <v>154</v>
      </c>
      <c r="BC42" s="162">
        <f>+AZ42-BB42</f>
        <v>0.4266666666666481</v>
      </c>
      <c r="BD42" s="162">
        <f>+BC42/100*60</f>
        <v>0.2559999999999889</v>
      </c>
      <c r="BE42" s="162">
        <f>+BD42+BB42</f>
        <v>154.256</v>
      </c>
      <c r="BG42" s="415"/>
      <c r="BH42" s="415"/>
      <c r="BI42" s="415"/>
      <c r="BJ42" s="415"/>
      <c r="BK42" s="415"/>
      <c r="BL42" s="415"/>
    </row>
    <row r="43" spans="1:67" s="258" customFormat="1" ht="15.95" customHeight="1" thickBot="1" x14ac:dyDescent="0.3">
      <c r="H43" s="412"/>
      <c r="I43" s="412"/>
      <c r="J43" s="412"/>
      <c r="K43" s="412"/>
      <c r="L43" s="404"/>
      <c r="M43" s="404"/>
      <c r="N43" s="404"/>
      <c r="O43" s="404"/>
      <c r="P43" s="404"/>
      <c r="Q43" s="412"/>
      <c r="R43" s="412"/>
      <c r="S43" s="661" t="s">
        <v>13</v>
      </c>
      <c r="T43" s="662"/>
      <c r="U43" s="662"/>
      <c r="V43" s="662"/>
      <c r="W43" s="662"/>
      <c r="X43" s="662"/>
      <c r="Y43" s="662"/>
      <c r="Z43" s="662"/>
      <c r="AA43" s="662"/>
      <c r="AB43" s="662"/>
      <c r="AC43" s="662"/>
      <c r="AD43" s="663"/>
      <c r="AE43" s="663"/>
      <c r="AF43" s="663"/>
      <c r="AG43" s="663"/>
      <c r="AH43" s="663"/>
      <c r="AI43" s="663"/>
      <c r="AJ43" s="663"/>
      <c r="AK43" s="663"/>
      <c r="AL43" s="663"/>
      <c r="AM43" s="663"/>
      <c r="AN43" s="416"/>
      <c r="AO43" s="416"/>
      <c r="AP43" s="416"/>
      <c r="AQ43" s="416"/>
      <c r="AR43" s="416"/>
      <c r="AS43" s="416"/>
      <c r="AT43" s="416"/>
      <c r="AU43" s="416"/>
      <c r="AV43" s="671">
        <f>+BE43</f>
        <v>2.0000000000152339E-3</v>
      </c>
      <c r="AW43" s="671"/>
      <c r="AX43" s="672"/>
      <c r="AZ43" s="406">
        <f>+AZ40+AZ41-AZ42</f>
        <v>3.3333333333587234E-3</v>
      </c>
      <c r="BA43" s="407">
        <f t="shared" si="41"/>
        <v>1</v>
      </c>
      <c r="BB43" s="408">
        <f t="shared" si="42"/>
        <v>0</v>
      </c>
      <c r="BC43" s="162">
        <f>+AZ43-BB43</f>
        <v>3.3333333333587234E-3</v>
      </c>
      <c r="BD43" s="162">
        <f>+BC43/100*60</f>
        <v>2.0000000000152339E-3</v>
      </c>
      <c r="BE43" s="162">
        <f>+BD43+BB43</f>
        <v>2.0000000000152339E-3</v>
      </c>
      <c r="BG43" s="415"/>
      <c r="BH43" s="415"/>
      <c r="BI43" s="415"/>
      <c r="BJ43" s="415"/>
      <c r="BK43" s="415"/>
      <c r="BL43" s="415"/>
    </row>
    <row r="44" spans="1:67" ht="15.95" hidden="1" customHeight="1" x14ac:dyDescent="0.25">
      <c r="H44" s="96"/>
      <c r="I44" s="96"/>
      <c r="J44" s="96"/>
      <c r="K44" s="96"/>
      <c r="L44" s="96"/>
      <c r="M44" s="96"/>
      <c r="N44" s="96"/>
      <c r="O44" s="96"/>
      <c r="P44" s="95"/>
      <c r="Q44" s="96"/>
      <c r="R44" s="96"/>
      <c r="S44" s="171"/>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2"/>
      <c r="BA44" s="144">
        <f t="shared" si="41"/>
        <v>1</v>
      </c>
      <c r="BB44" s="146">
        <f t="shared" si="42"/>
        <v>0</v>
      </c>
    </row>
    <row r="45" spans="1:67" ht="15.95" hidden="1" customHeight="1" thickBot="1" x14ac:dyDescent="0.3">
      <c r="S45" s="589" t="s">
        <v>76</v>
      </c>
      <c r="T45" s="590"/>
      <c r="U45" s="590"/>
      <c r="V45" s="590"/>
      <c r="W45" s="590"/>
      <c r="X45" s="590"/>
      <c r="Y45" s="590"/>
      <c r="Z45" s="590"/>
      <c r="AA45" s="590"/>
      <c r="AB45" s="590"/>
      <c r="AC45" s="590"/>
      <c r="AD45" s="590"/>
      <c r="AE45" s="590"/>
      <c r="AF45" s="590"/>
      <c r="AG45" s="590"/>
      <c r="AH45" s="590"/>
      <c r="AI45" s="590"/>
      <c r="AJ45" s="590"/>
      <c r="AK45" s="590"/>
      <c r="AL45" s="590"/>
      <c r="AM45" s="590"/>
      <c r="AN45" s="175"/>
      <c r="AO45" s="175"/>
      <c r="AP45" s="175"/>
      <c r="AQ45" s="175"/>
      <c r="AR45" s="175"/>
      <c r="AS45" s="175"/>
      <c r="AT45" s="175"/>
      <c r="AU45" s="175"/>
      <c r="AV45" s="594">
        <f>+BE45</f>
        <v>0</v>
      </c>
      <c r="AW45" s="594"/>
      <c r="AX45" s="595"/>
      <c r="AZ45" s="157">
        <f>+Y39+AH39+Mar!AZ46</f>
        <v>0</v>
      </c>
      <c r="BA45" s="157"/>
      <c r="BB45" s="141">
        <f>FLOOR(AZ45,1)</f>
        <v>0</v>
      </c>
      <c r="BC45" s="141">
        <f>+AZ45-BB45</f>
        <v>0</v>
      </c>
      <c r="BD45" s="141">
        <f>+BC45/100*60</f>
        <v>0</v>
      </c>
      <c r="BE45" s="162">
        <f>+BD45+BB45</f>
        <v>0</v>
      </c>
    </row>
  </sheetData>
  <sheetProtection sheet="1" objects="1" scenarios="1"/>
  <mergeCells count="57">
    <mergeCell ref="Q24:T24"/>
    <mergeCell ref="Q25:T25"/>
    <mergeCell ref="U6:AD6"/>
    <mergeCell ref="Q37:T37"/>
    <mergeCell ref="Q35:T35"/>
    <mergeCell ref="Q32:T32"/>
    <mergeCell ref="Q36:T36"/>
    <mergeCell ref="Q33:T33"/>
    <mergeCell ref="Q34:T34"/>
    <mergeCell ref="Q30:T30"/>
    <mergeCell ref="Q31:T31"/>
    <mergeCell ref="Q28:T28"/>
    <mergeCell ref="AV45:AX45"/>
    <mergeCell ref="S43:AM43"/>
    <mergeCell ref="S40:AM40"/>
    <mergeCell ref="S41:AM41"/>
    <mergeCell ref="AV43:AX43"/>
    <mergeCell ref="S42:AM42"/>
    <mergeCell ref="AV40:AX40"/>
    <mergeCell ref="S45:AM45"/>
    <mergeCell ref="Q38:T38"/>
    <mergeCell ref="Q39:T39"/>
    <mergeCell ref="Q12:T12"/>
    <mergeCell ref="Q13:T13"/>
    <mergeCell ref="H42:R42"/>
    <mergeCell ref="H40:L40"/>
    <mergeCell ref="Q19:T19"/>
    <mergeCell ref="Q16:T16"/>
    <mergeCell ref="Q17:T17"/>
    <mergeCell ref="Q22:T22"/>
    <mergeCell ref="Q18:T18"/>
    <mergeCell ref="Q23:T23"/>
    <mergeCell ref="Q20:T20"/>
    <mergeCell ref="Q21:T21"/>
    <mergeCell ref="Q29:T29"/>
    <mergeCell ref="H1:AZ1"/>
    <mergeCell ref="H4:K4"/>
    <mergeCell ref="U3:AV3"/>
    <mergeCell ref="L4:S4"/>
    <mergeCell ref="H3:K3"/>
    <mergeCell ref="L3:S3"/>
    <mergeCell ref="H5:K5"/>
    <mergeCell ref="AV42:AX42"/>
    <mergeCell ref="AV41:AX41"/>
    <mergeCell ref="AX3:AY3"/>
    <mergeCell ref="AX4:AY4"/>
    <mergeCell ref="L5:S5"/>
    <mergeCell ref="Q9:T9"/>
    <mergeCell ref="Q14:T14"/>
    <mergeCell ref="Q15:T15"/>
    <mergeCell ref="AX5:AY5"/>
    <mergeCell ref="U5:AV5"/>
    <mergeCell ref="Q7:T7"/>
    <mergeCell ref="Q10:T10"/>
    <mergeCell ref="Q11:T11"/>
    <mergeCell ref="Q26:T26"/>
    <mergeCell ref="Q27:T27"/>
  </mergeCells>
  <phoneticPr fontId="0" type="noConversion"/>
  <conditionalFormatting sqref="H9:H38">
    <cfRule type="expression" dxfId="35" priority="13" stopIfTrue="1">
      <formula>IF(WEEKDAY($I9,2)&gt;5,1,0)</formula>
    </cfRule>
    <cfRule type="expression" dxfId="34" priority="14" stopIfTrue="1">
      <formula>IF($I9=TODAY(),1,0)</formula>
    </cfRule>
  </conditionalFormatting>
  <conditionalFormatting sqref="J8:K8 Q9:T38 BA9:BE38 J24:K25 J31:K32 J38:K38 J13:K14 J17:K18 J10:K11">
    <cfRule type="expression" dxfId="33" priority="15" stopIfTrue="1">
      <formula>IF(WEEKDAY($B8,2)&lt;6,1,0)</formula>
    </cfRule>
  </conditionalFormatting>
  <conditionalFormatting sqref="AE9:AG38 BB39:BB44 Z39:AC39 AL13 V9:X38 AI39:AL39 AU13 AN9:AP38 AR39:AU39 BB45:BE45 BC40:BE43 M39:P39 BI9:BK39 L8:P8 L24:P25 L31:P32 L38:P38 L13:P14 L17:P18 L10:P11">
    <cfRule type="cellIs" dxfId="32" priority="16" stopIfTrue="1" operator="lessThan">
      <formula>0</formula>
    </cfRule>
  </conditionalFormatting>
  <conditionalFormatting sqref="B9:B38 G9:G38">
    <cfRule type="expression" dxfId="31" priority="17" stopIfTrue="1">
      <formula>IF(B9=MAX($B$8:B8),1,0)</formula>
    </cfRule>
  </conditionalFormatting>
  <conditionalFormatting sqref="J19:K23">
    <cfRule type="expression" dxfId="30" priority="11" stopIfTrue="1">
      <formula>IF(WEEKDAY($B19,2)&lt;6,1,0)</formula>
    </cfRule>
  </conditionalFormatting>
  <conditionalFormatting sqref="L19:P23">
    <cfRule type="cellIs" dxfId="29" priority="12" stopIfTrue="1" operator="lessThan">
      <formula>0</formula>
    </cfRule>
  </conditionalFormatting>
  <conditionalFormatting sqref="J26:K30">
    <cfRule type="expression" dxfId="28" priority="9" stopIfTrue="1">
      <formula>IF(WEEKDAY($B26,2)&lt;6,1,0)</formula>
    </cfRule>
  </conditionalFormatting>
  <conditionalFormatting sqref="L26:P30">
    <cfRule type="cellIs" dxfId="27" priority="10" stopIfTrue="1" operator="lessThan">
      <formula>0</formula>
    </cfRule>
  </conditionalFormatting>
  <conditionalFormatting sqref="J33:K37">
    <cfRule type="expression" dxfId="26" priority="7" stopIfTrue="1">
      <formula>IF(WEEKDAY($B33,2)&lt;6,1,0)</formula>
    </cfRule>
  </conditionalFormatting>
  <conditionalFormatting sqref="L33:P37">
    <cfRule type="cellIs" dxfId="25" priority="8" stopIfTrue="1" operator="lessThan">
      <formula>0</formula>
    </cfRule>
  </conditionalFormatting>
  <conditionalFormatting sqref="J12:K12">
    <cfRule type="expression" dxfId="24" priority="5" stopIfTrue="1">
      <formula>IF(WEEKDAY($B12,2)&lt;6,1,0)</formula>
    </cfRule>
  </conditionalFormatting>
  <conditionalFormatting sqref="L12:P12">
    <cfRule type="cellIs" dxfId="23" priority="6" stopIfTrue="1" operator="lessThan">
      <formula>0</formula>
    </cfRule>
  </conditionalFormatting>
  <conditionalFormatting sqref="J15:K16">
    <cfRule type="expression" dxfId="22" priority="3" stopIfTrue="1">
      <formula>IF(WEEKDAY($B15,2)&lt;6,1,0)</formula>
    </cfRule>
  </conditionalFormatting>
  <conditionalFormatting sqref="L15:P16">
    <cfRule type="cellIs" dxfId="21" priority="4" stopIfTrue="1" operator="lessThan">
      <formula>0</formula>
    </cfRule>
  </conditionalFormatting>
  <conditionalFormatting sqref="J9:K9">
    <cfRule type="expression" dxfId="20" priority="1" stopIfTrue="1">
      <formula>IF(WEEKDAY($B9,2)&lt;6,1,0)</formula>
    </cfRule>
  </conditionalFormatting>
  <conditionalFormatting sqref="L9:P9">
    <cfRule type="cellIs" dxfId="19" priority="2" stopIfTrue="1" operator="lessThan">
      <formula>0</formula>
    </cfRule>
  </conditionalFormatting>
  <printOptions horizontalCentered="1" verticalCentered="1"/>
  <pageMargins left="0.59055118110236227" right="0.19685039370078741" top="0.19685039370078741" bottom="0.59055118110236227" header="0.51181102362204722" footer="0.51181102362204722"/>
  <pageSetup paperSize="9" scale="110" orientation="portrait" horizontalDpi="3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3">
    <pageSetUpPr fitToPage="1"/>
  </sheetPr>
  <dimension ref="A1:CF47"/>
  <sheetViews>
    <sheetView zoomScale="75" workbookViewId="0">
      <pane xSplit="9" ySplit="8" topLeftCell="J9" activePane="bottomRight" state="frozen"/>
      <selection activeCell="U24" sqref="U24"/>
      <selection pane="topRight" activeCell="U24" sqref="U24"/>
      <selection pane="bottomLeft" activeCell="U24" sqref="U24"/>
      <selection pane="bottomRight" activeCell="B1" sqref="B1:F65536"/>
    </sheetView>
  </sheetViews>
  <sheetFormatPr defaultRowHeight="15" x14ac:dyDescent="0.25"/>
  <cols>
    <col min="1" max="1" width="10.42578125" bestFit="1" customWidth="1"/>
    <col min="2" max="2" width="9.42578125" hidden="1" customWidth="1"/>
    <col min="3" max="3" width="5.28515625" hidden="1" customWidth="1"/>
    <col min="4" max="6" width="9.85546875" hidden="1" customWidth="1"/>
    <col min="7" max="7" width="10" style="270" bestFit="1" customWidth="1"/>
    <col min="8" max="8" width="5.42578125" bestFit="1" customWidth="1"/>
    <col min="9" max="9" width="11.5703125" hidden="1" customWidth="1"/>
    <col min="10" max="10" width="7.7109375" bestFit="1" customWidth="1"/>
    <col min="11" max="11" width="7" bestFit="1" customWidth="1"/>
    <col min="12" max="12" width="7.140625" hidden="1" customWidth="1"/>
    <col min="13" max="13" width="7.5703125" hidden="1" customWidth="1"/>
    <col min="14" max="15" width="5.28515625" hidden="1" customWidth="1"/>
    <col min="16" max="16" width="7.5703125" style="266" customWidth="1"/>
    <col min="17" max="17" width="5.7109375" customWidth="1"/>
    <col min="18" max="18" width="1.85546875" customWidth="1"/>
    <col min="19" max="19" width="8.42578125" customWidth="1"/>
    <col min="20" max="20" width="8" customWidth="1"/>
    <col min="21" max="21" width="8.42578125" hidden="1" customWidth="1"/>
    <col min="22" max="22" width="17.140625" bestFit="1" customWidth="1"/>
    <col min="23" max="30" width="5.28515625" hidden="1" customWidth="1"/>
    <col min="31" max="31" width="14.85546875" customWidth="1"/>
    <col min="32" max="39" width="5.28515625" hidden="1" customWidth="1"/>
    <col min="40" max="40" width="22.85546875" bestFit="1" customWidth="1"/>
    <col min="41" max="48" width="5.28515625" hidden="1" customWidth="1"/>
    <col min="49" max="49" width="11" hidden="1" customWidth="1"/>
    <col min="50" max="50" width="10.7109375" hidden="1" customWidth="1"/>
    <col min="51" max="51" width="9" hidden="1" customWidth="1"/>
    <col min="52" max="52" width="7.42578125" hidden="1" customWidth="1"/>
    <col min="53" max="53" width="15" hidden="1" customWidth="1"/>
    <col min="54" max="54" width="15.28515625" hidden="1" customWidth="1"/>
    <col min="55" max="55" width="14.42578125" hidden="1" customWidth="1"/>
    <col min="56" max="56" width="13.7109375" hidden="1" customWidth="1"/>
    <col min="57" max="57" width="11.85546875" hidden="1" customWidth="1"/>
    <col min="58" max="59" width="6.28515625" customWidth="1"/>
    <col min="60" max="60" width="12.42578125" customWidth="1"/>
    <col min="61" max="61" width="8.5703125" hidden="1" customWidth="1"/>
    <col min="62" max="62" width="5.28515625" hidden="1" customWidth="1"/>
    <col min="63" max="63" width="7.5703125" hidden="1" customWidth="1"/>
    <col min="64" max="65" width="5.28515625" hidden="1" customWidth="1"/>
    <col min="66" max="66" width="7.5703125" hidden="1" customWidth="1"/>
    <col min="67" max="67" width="4.42578125" hidden="1" customWidth="1"/>
    <col min="68" max="68" width="6.42578125" hidden="1" customWidth="1"/>
    <col min="69" max="69" width="16.28515625" hidden="1" customWidth="1"/>
    <col min="70" max="70" width="9" hidden="1" customWidth="1"/>
    <col min="71" max="72" width="10" style="134" hidden="1" customWidth="1"/>
    <col min="73" max="73" width="9.85546875" style="134" hidden="1" customWidth="1"/>
    <col min="74" max="78" width="9.140625" style="134" hidden="1" customWidth="1"/>
    <col min="79" max="80" width="9.85546875" style="134" hidden="1" customWidth="1"/>
    <col min="81" max="81" width="12.140625" style="134" bestFit="1" customWidth="1"/>
    <col min="82" max="82" width="4.5703125" hidden="1" customWidth="1"/>
    <col min="83" max="83" width="2.28515625" hidden="1" customWidth="1"/>
    <col min="84" max="86" width="0" hidden="1" customWidth="1"/>
  </cols>
  <sheetData>
    <row r="1" spans="1:83" ht="18" x14ac:dyDescent="0.25">
      <c r="H1" s="681" t="s">
        <v>114</v>
      </c>
      <c r="I1" s="681"/>
      <c r="J1" s="681"/>
      <c r="K1" s="681"/>
      <c r="L1" s="681"/>
      <c r="M1" s="681"/>
      <c r="N1" s="681"/>
      <c r="O1" s="681"/>
      <c r="P1" s="681"/>
      <c r="Q1" s="681"/>
      <c r="R1" s="681"/>
      <c r="S1" s="681"/>
      <c r="T1" s="681"/>
      <c r="U1" s="681"/>
      <c r="V1" s="681"/>
      <c r="W1" s="681"/>
      <c r="X1" s="681"/>
      <c r="Y1" s="681"/>
      <c r="Z1" s="681"/>
      <c r="AA1" s="681"/>
      <c r="AB1" s="681"/>
      <c r="AC1" s="681"/>
      <c r="AD1" s="681"/>
      <c r="AE1" s="681"/>
      <c r="AF1" s="681"/>
      <c r="AG1" s="681"/>
      <c r="AH1" s="681"/>
      <c r="AI1" s="681"/>
      <c r="AJ1" s="681"/>
      <c r="AK1" s="681"/>
      <c r="AL1" s="681"/>
      <c r="AM1" s="681"/>
      <c r="AN1" s="681"/>
      <c r="AO1" s="681"/>
      <c r="AP1" s="681"/>
      <c r="AQ1" s="681"/>
      <c r="AR1" s="681"/>
      <c r="AS1" s="681"/>
      <c r="AT1" s="681"/>
      <c r="AU1" s="681"/>
      <c r="AV1" s="681"/>
      <c r="AW1" s="681"/>
      <c r="AX1" s="681"/>
      <c r="AY1" s="681"/>
      <c r="AZ1" s="681"/>
      <c r="BA1" s="681"/>
      <c r="BB1" s="681"/>
      <c r="BC1" s="681"/>
      <c r="BD1" s="681"/>
      <c r="BE1" s="681"/>
      <c r="BF1" s="681"/>
      <c r="BG1" s="681"/>
      <c r="BH1" s="681"/>
      <c r="BI1" s="174"/>
      <c r="BJ1" s="174"/>
      <c r="BK1" s="174"/>
      <c r="BL1" s="174"/>
      <c r="BM1" s="174"/>
      <c r="BN1" s="174"/>
      <c r="BO1" s="174"/>
      <c r="BP1" s="174"/>
      <c r="BQ1" s="174"/>
    </row>
    <row r="2" spans="1:83" ht="8.1" customHeight="1" x14ac:dyDescent="0.25">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row>
    <row r="3" spans="1:83" ht="15.95" customHeight="1" x14ac:dyDescent="0.25">
      <c r="H3" s="620" t="s">
        <v>5</v>
      </c>
      <c r="I3" s="621"/>
      <c r="J3" s="621"/>
      <c r="K3" s="622"/>
      <c r="L3" s="555" t="str">
        <f>+Resume!H1</f>
        <v>Lars Larsen</v>
      </c>
      <c r="M3" s="556"/>
      <c r="N3" s="556"/>
      <c r="O3" s="556"/>
      <c r="P3" s="556"/>
      <c r="Q3" s="194"/>
      <c r="R3" s="194"/>
      <c r="S3" s="194"/>
      <c r="T3" s="194"/>
      <c r="U3" s="194"/>
      <c r="V3" s="626" t="s">
        <v>7</v>
      </c>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626"/>
      <c r="AX3" s="155"/>
      <c r="AY3" s="155"/>
      <c r="AZ3" s="155"/>
      <c r="BA3" s="155"/>
      <c r="BB3" s="155"/>
      <c r="BC3" s="155"/>
      <c r="BD3" s="155"/>
      <c r="BE3" s="155"/>
      <c r="BF3" s="155"/>
      <c r="BG3" s="558">
        <f>+I9</f>
        <v>41609</v>
      </c>
      <c r="BH3" s="560"/>
      <c r="BI3" s="183"/>
      <c r="BJ3" s="183"/>
      <c r="BK3" s="183"/>
      <c r="BL3" s="183"/>
      <c r="BM3" s="183"/>
      <c r="BN3" s="183"/>
      <c r="BO3" s="183"/>
      <c r="BP3" s="183"/>
      <c r="BQ3" s="183"/>
    </row>
    <row r="4" spans="1:83" ht="15.95" customHeight="1" x14ac:dyDescent="0.25">
      <c r="H4" s="625" t="s">
        <v>6</v>
      </c>
      <c r="I4" s="625"/>
      <c r="J4" s="625"/>
      <c r="K4" s="625"/>
      <c r="L4" s="550" t="str">
        <f>+Resume!H2</f>
        <v>010101-0101</v>
      </c>
      <c r="M4" s="551"/>
      <c r="N4" s="551"/>
      <c r="O4" s="551"/>
      <c r="P4" s="551"/>
      <c r="Q4" s="682"/>
      <c r="R4" s="682"/>
      <c r="S4" s="682"/>
      <c r="T4" s="682"/>
      <c r="U4" s="50"/>
      <c r="V4" s="17" t="s">
        <v>8</v>
      </c>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8"/>
      <c r="AX4" s="159"/>
      <c r="AY4" s="159"/>
      <c r="AZ4" s="159"/>
      <c r="BA4" s="159"/>
      <c r="BB4" s="159"/>
      <c r="BC4" s="159"/>
      <c r="BD4" s="159"/>
      <c r="BE4" s="159"/>
      <c r="BF4" s="159"/>
      <c r="BG4" s="561" t="str">
        <f>IF(Resume!I4&lt;&gt;"",Resume!I4,"")</f>
        <v>1 - bagud</v>
      </c>
      <c r="BH4" s="563"/>
      <c r="BI4" s="184"/>
      <c r="BJ4" s="184"/>
      <c r="BK4" s="184"/>
      <c r="BL4" s="184"/>
      <c r="BM4" s="184"/>
      <c r="BN4" s="184"/>
      <c r="BO4" s="184"/>
      <c r="BP4" s="184"/>
      <c r="BQ4" s="184"/>
    </row>
    <row r="5" spans="1:83" ht="15.95" customHeight="1" x14ac:dyDescent="0.25">
      <c r="H5" s="620" t="s">
        <v>9</v>
      </c>
      <c r="I5" s="621"/>
      <c r="J5" s="621"/>
      <c r="K5" s="622"/>
      <c r="L5" s="555" t="str">
        <f>+Resume!H3</f>
        <v>SKAT</v>
      </c>
      <c r="M5" s="556"/>
      <c r="N5" s="556"/>
      <c r="O5" s="556"/>
      <c r="P5" s="556"/>
      <c r="Q5" s="194"/>
      <c r="R5" s="194"/>
      <c r="S5" s="194"/>
      <c r="T5" s="194"/>
      <c r="U5" s="194"/>
      <c r="V5" s="617"/>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8"/>
      <c r="AW5" s="619"/>
      <c r="AX5" s="156"/>
      <c r="AY5" s="156"/>
      <c r="AZ5" s="156"/>
      <c r="BA5" s="156"/>
      <c r="BB5" s="156"/>
      <c r="BC5" s="156"/>
      <c r="BD5" s="156"/>
      <c r="BE5" s="156"/>
      <c r="BF5" s="156"/>
      <c r="BG5" s="614"/>
      <c r="BH5" s="616"/>
      <c r="BI5" s="185"/>
      <c r="BJ5" s="185"/>
      <c r="BK5" s="185"/>
      <c r="BL5" s="185"/>
      <c r="BM5" s="185"/>
      <c r="BN5" s="185"/>
      <c r="BO5" s="185"/>
      <c r="BP5" s="185"/>
      <c r="BQ5" s="185"/>
    </row>
    <row r="6" spans="1:83" ht="50.25" customHeight="1" thickBot="1" x14ac:dyDescent="0.3">
      <c r="H6" s="3"/>
      <c r="I6" s="3"/>
      <c r="J6" s="3"/>
      <c r="K6" s="3"/>
      <c r="L6" s="3"/>
      <c r="M6" s="3"/>
      <c r="N6" s="3"/>
      <c r="O6" s="3"/>
      <c r="P6" s="3"/>
      <c r="Q6" s="426"/>
      <c r="R6" s="426"/>
      <c r="S6" s="426"/>
      <c r="T6" s="426"/>
      <c r="U6" s="426"/>
      <c r="V6" s="628" t="s">
        <v>75</v>
      </c>
      <c r="W6" s="628"/>
      <c r="X6" s="628"/>
      <c r="Y6" s="628"/>
      <c r="Z6" s="628"/>
      <c r="AA6" s="628"/>
      <c r="AB6" s="628"/>
      <c r="AC6" s="628"/>
      <c r="AD6" s="628"/>
      <c r="AE6" s="628"/>
      <c r="AF6" s="427"/>
      <c r="AG6" s="427"/>
      <c r="AH6" s="427"/>
      <c r="AI6" s="427"/>
      <c r="AJ6" s="427"/>
      <c r="AK6" s="427"/>
      <c r="AL6" s="427"/>
      <c r="AM6" s="427"/>
      <c r="AN6" s="428" t="s">
        <v>77</v>
      </c>
      <c r="AO6" s="429"/>
      <c r="AP6" s="429"/>
      <c r="AQ6" s="429"/>
      <c r="AR6" s="429"/>
      <c r="AS6" s="429"/>
      <c r="AT6" s="429"/>
      <c r="AU6" s="429"/>
      <c r="AV6" s="429"/>
      <c r="AW6" s="426"/>
      <c r="AX6" s="426"/>
      <c r="AY6" s="426"/>
      <c r="AZ6" s="426"/>
      <c r="BA6" s="426"/>
      <c r="BB6" s="426"/>
      <c r="BC6" s="426"/>
      <c r="BD6" s="426"/>
      <c r="BE6" s="426"/>
      <c r="BF6" s="426"/>
      <c r="BG6" s="426"/>
      <c r="BH6" s="426"/>
      <c r="BI6" s="101"/>
      <c r="BJ6" s="101"/>
      <c r="BK6" s="101"/>
      <c r="BL6" s="101"/>
      <c r="BM6" s="101"/>
      <c r="BN6" s="101"/>
      <c r="BO6" s="101"/>
      <c r="BP6" s="101"/>
      <c r="BQ6" s="101"/>
    </row>
    <row r="7" spans="1:83" s="118" customFormat="1" ht="52.5" customHeight="1" thickBot="1" x14ac:dyDescent="0.3">
      <c r="A7" s="112" t="s">
        <v>58</v>
      </c>
      <c r="B7" s="119" t="s">
        <v>18</v>
      </c>
      <c r="C7" s="176"/>
      <c r="D7" s="176"/>
      <c r="E7" s="176"/>
      <c r="F7" s="176"/>
      <c r="G7" s="262" t="s">
        <v>18</v>
      </c>
      <c r="H7" s="114" t="s">
        <v>2</v>
      </c>
      <c r="I7" s="115"/>
      <c r="J7" s="116" t="s">
        <v>3</v>
      </c>
      <c r="K7" s="116" t="s">
        <v>4</v>
      </c>
      <c r="L7" s="117" t="s">
        <v>0</v>
      </c>
      <c r="M7" s="139"/>
      <c r="N7" s="139"/>
      <c r="O7" s="139"/>
      <c r="P7" s="216" t="s">
        <v>69</v>
      </c>
      <c r="Q7" s="586" t="s">
        <v>115</v>
      </c>
      <c r="R7" s="587"/>
      <c r="S7" s="587"/>
      <c r="T7" s="588"/>
      <c r="U7" s="430"/>
      <c r="V7" s="452" t="s">
        <v>116</v>
      </c>
      <c r="W7" s="423"/>
      <c r="X7" s="423"/>
      <c r="Y7" s="423"/>
      <c r="Z7" s="423"/>
      <c r="AA7" s="423"/>
      <c r="AB7" s="423"/>
      <c r="AC7" s="423"/>
      <c r="AD7" s="423"/>
      <c r="AE7" s="423" t="s">
        <v>68</v>
      </c>
      <c r="AF7" s="423"/>
      <c r="AG7" s="423"/>
      <c r="AH7" s="423"/>
      <c r="AI7" s="423"/>
      <c r="AJ7" s="423"/>
      <c r="AK7" s="423"/>
      <c r="AL7" s="423"/>
      <c r="AM7" s="423"/>
      <c r="AN7" s="424" t="s">
        <v>91</v>
      </c>
      <c r="AO7" s="425"/>
      <c r="AP7" s="425"/>
      <c r="AQ7" s="425"/>
      <c r="AR7" s="425"/>
      <c r="AS7" s="425"/>
      <c r="AT7" s="425"/>
      <c r="AU7" s="425"/>
      <c r="AV7" s="425"/>
      <c r="BH7" s="483"/>
      <c r="BI7" s="186"/>
      <c r="BJ7" s="186"/>
      <c r="BK7" s="186"/>
      <c r="BL7" s="186"/>
      <c r="BM7" s="186"/>
      <c r="BN7" s="186"/>
      <c r="BO7" s="186"/>
      <c r="BP7" s="186"/>
      <c r="BQ7" s="186"/>
      <c r="BR7" s="483"/>
      <c r="BS7" s="481" t="s">
        <v>61</v>
      </c>
      <c r="BT7" s="142"/>
      <c r="BU7" s="142"/>
      <c r="BV7" s="142"/>
      <c r="BW7" s="142"/>
      <c r="BX7" s="142"/>
      <c r="BY7" s="142"/>
      <c r="BZ7" s="142"/>
      <c r="CA7" s="142"/>
      <c r="CB7" s="142"/>
      <c r="CC7" s="163" t="s">
        <v>70</v>
      </c>
    </row>
    <row r="8" spans="1:83" ht="0.95" customHeight="1" x14ac:dyDescent="0.25">
      <c r="A8" s="81"/>
      <c r="B8" s="78"/>
      <c r="C8" s="177"/>
      <c r="D8" s="177"/>
      <c r="E8" s="177"/>
      <c r="F8" s="177"/>
      <c r="G8" s="271"/>
      <c r="H8" s="75"/>
      <c r="I8" s="70"/>
      <c r="J8" s="71"/>
      <c r="K8" s="71"/>
      <c r="L8" s="72"/>
      <c r="M8" s="140"/>
      <c r="N8" s="140"/>
      <c r="O8" s="140"/>
      <c r="P8" s="140"/>
      <c r="Q8" s="73"/>
      <c r="R8" s="73"/>
      <c r="S8" s="74"/>
      <c r="T8" s="74"/>
      <c r="U8" s="140"/>
      <c r="V8" s="74"/>
      <c r="W8" s="74"/>
      <c r="X8" s="74"/>
      <c r="Y8" s="74"/>
      <c r="Z8" s="74"/>
      <c r="AA8" s="74"/>
      <c r="AB8" s="74"/>
      <c r="AC8" s="74"/>
      <c r="AD8" s="74"/>
      <c r="AE8" s="74"/>
      <c r="AF8" s="74"/>
      <c r="AG8" s="74"/>
      <c r="AH8" s="74"/>
      <c r="AI8" s="74"/>
      <c r="AJ8" s="74"/>
      <c r="AK8" s="74"/>
      <c r="AL8" s="74"/>
      <c r="AM8" s="74"/>
      <c r="AN8" s="161"/>
      <c r="AO8" s="161"/>
      <c r="AP8" s="161"/>
      <c r="AQ8" s="161"/>
      <c r="AR8" s="161"/>
      <c r="AS8" s="161"/>
      <c r="AT8" s="161"/>
      <c r="AU8" s="161"/>
      <c r="AV8" s="161"/>
      <c r="BH8" s="170"/>
      <c r="BI8" s="187"/>
      <c r="BJ8" s="187"/>
      <c r="BK8" s="187"/>
      <c r="BL8" s="187"/>
      <c r="BM8" s="187"/>
      <c r="BN8" s="187"/>
      <c r="BO8" s="187"/>
      <c r="BP8" s="187"/>
      <c r="BQ8" s="187"/>
      <c r="BR8" s="170"/>
      <c r="BS8" s="482"/>
      <c r="BT8" s="143"/>
      <c r="BU8" s="143"/>
      <c r="BV8" s="143"/>
      <c r="BW8" s="143"/>
      <c r="BX8" s="143"/>
      <c r="BY8" s="143"/>
      <c r="BZ8" s="143"/>
      <c r="CA8" s="143"/>
      <c r="CB8" s="143"/>
      <c r="CC8" s="166"/>
    </row>
    <row r="9" spans="1:83" ht="15.95" customHeight="1" x14ac:dyDescent="0.25">
      <c r="A9" s="83"/>
      <c r="B9" s="79" t="str">
        <f>IF($I9&lt;&gt;"",IF(WEEKDAY($I9,2)&lt;6,IF(VLOOKUP(WEEKDAY($I9,2),InputUge,3)&gt;0,IF($A9="",VLOOKUP(WEEKDAY($I9,2),InputUge,3)+MAX(B$8:B8),IF($A9&lt;VLOOKUP(WEEKDAY($I9,2),InputUge,3),$A9+MAX(B$8:B8),VLOOKUP(WEEKDAY($I9,2),InputUge,3)+MAX(B$8:B8))),""),""),"")</f>
        <v/>
      </c>
      <c r="C9" s="144">
        <f>IF(B9&lt;0,-1,1)</f>
        <v>1</v>
      </c>
      <c r="D9" s="146" t="e">
        <f>FLOOR(B9,C9)</f>
        <v>#VALUE!</v>
      </c>
      <c r="E9" s="146" t="e">
        <f>+B9-D9</f>
        <v>#VALUE!</v>
      </c>
      <c r="F9" s="146" t="e">
        <f>+E9/100*60</f>
        <v>#VALUE!</v>
      </c>
      <c r="G9" s="261"/>
      <c r="H9" s="4">
        <v>1</v>
      </c>
      <c r="I9" s="16">
        <f>+Nov!I38+1</f>
        <v>41609</v>
      </c>
      <c r="J9" s="6"/>
      <c r="K9" s="6"/>
      <c r="L9" s="5"/>
      <c r="M9" s="141">
        <f t="shared" ref="M9:M14" si="0">FLOOR(L9,1)</f>
        <v>0</v>
      </c>
      <c r="N9" s="141">
        <f t="shared" ref="N9:N14" si="1">+L9-M9</f>
        <v>0</v>
      </c>
      <c r="O9" s="141">
        <f t="shared" ref="O9:O14" si="2">+N9/100*60</f>
        <v>0</v>
      </c>
      <c r="P9" s="141" t="str">
        <f t="shared" ref="P9:P14" si="3">IF(J9="","",O9+M9)</f>
        <v/>
      </c>
      <c r="Q9" s="591"/>
      <c r="R9" s="592"/>
      <c r="S9" s="592"/>
      <c r="T9" s="593"/>
      <c r="U9" s="431"/>
      <c r="V9" s="418"/>
      <c r="W9" s="240">
        <f>FLOOR(V9,1)</f>
        <v>0</v>
      </c>
      <c r="X9" s="240">
        <f>+V9-W9</f>
        <v>0</v>
      </c>
      <c r="Y9" s="240">
        <f>+X9/60*100</f>
        <v>0</v>
      </c>
      <c r="Z9" s="242">
        <f>+Y9+W9</f>
        <v>0</v>
      </c>
      <c r="AA9" s="418"/>
      <c r="AB9" s="418"/>
      <c r="AC9" s="418"/>
      <c r="AD9" s="418"/>
      <c r="AE9" s="418"/>
      <c r="AF9" s="240">
        <f>FLOOR(AE9,1)</f>
        <v>0</v>
      </c>
      <c r="AG9" s="240">
        <f>+AE9-AF9</f>
        <v>0</v>
      </c>
      <c r="AH9" s="240">
        <f>+AG9/60*100</f>
        <v>0</v>
      </c>
      <c r="AI9" s="242">
        <f>+AH9+AF9</f>
        <v>0</v>
      </c>
      <c r="AJ9" s="418"/>
      <c r="AK9" s="418"/>
      <c r="AL9" s="418"/>
      <c r="AM9" s="418"/>
      <c r="AN9" s="472"/>
      <c r="AO9" s="240">
        <f t="shared" ref="AO9:AO38" si="4">FLOOR(AN9,1)</f>
        <v>0</v>
      </c>
      <c r="AP9" s="240">
        <f t="shared" ref="AP9:AP39" si="5">+AN9-AO9</f>
        <v>0</v>
      </c>
      <c r="AQ9" s="240">
        <f t="shared" ref="AQ9:AQ39" si="6">+AP9/60*100</f>
        <v>0</v>
      </c>
      <c r="AR9" s="242">
        <f>+AQ9+AO9</f>
        <v>0</v>
      </c>
      <c r="AS9" s="245"/>
      <c r="AT9" s="245"/>
      <c r="AU9" s="245"/>
      <c r="AV9" s="419"/>
      <c r="BH9" s="170"/>
      <c r="BI9" s="189"/>
      <c r="BJ9" s="189"/>
      <c r="BK9" s="189"/>
      <c r="BL9" s="189"/>
      <c r="BM9" s="189"/>
      <c r="BN9" s="189"/>
      <c r="BO9" s="189"/>
      <c r="BP9" s="189"/>
      <c r="BQ9" s="189"/>
      <c r="BR9" s="170"/>
      <c r="BS9" s="144" t="e">
        <f>IF($K9&gt;=0,+SUM(L$9:$L9)-$B9+Dec!$BI$41+SUM(AR$9:$AR9)," ")</f>
        <v>#VALUE!</v>
      </c>
      <c r="BT9" s="144" t="e">
        <f>IF(BS9&lt;0,-1,1)</f>
        <v>#VALUE!</v>
      </c>
      <c r="BU9" s="146" t="e">
        <f>FLOOR(BS9,BT9)</f>
        <v>#VALUE!</v>
      </c>
      <c r="BV9" s="146"/>
      <c r="BW9" s="146"/>
      <c r="BX9" s="146"/>
      <c r="BY9" s="146"/>
      <c r="BZ9" s="146"/>
      <c r="CA9" s="146" t="e">
        <f>+BS9-BU9</f>
        <v>#VALUE!</v>
      </c>
      <c r="CB9" s="146" t="e">
        <f>+CA9/100*60</f>
        <v>#VALUE!</v>
      </c>
      <c r="CC9" s="164" t="str">
        <f>IF(CE9=2,+CB9+BU9,"")</f>
        <v/>
      </c>
      <c r="CD9" s="157" t="str">
        <f>+P9</f>
        <v/>
      </c>
      <c r="CE9">
        <f t="shared" ref="CE9:CE39" si="7">+IF(CD9="",1,2)</f>
        <v>1</v>
      </c>
    </row>
    <row r="10" spans="1:83" ht="15.95" customHeight="1" x14ac:dyDescent="0.25">
      <c r="A10" s="83"/>
      <c r="B10" s="79">
        <f>IF($I10&lt;&gt;"",IF(WEEKDAY($I10,2)&lt;6,IF(VLOOKUP(WEEKDAY($I10,2),InputUge,3)&gt;0,IF($A10="",VLOOKUP(WEEKDAY($I10,2),InputUge,3)+MAX(B$8:B9),IF($A10&lt;VLOOKUP(WEEKDAY($I10,2),InputUge,3),$A10+MAX(B$8:B9),VLOOKUP(WEEKDAY($I10,2),InputUge,3)+MAX(B$8:B9))),""),""),"")</f>
        <v>7.0633333333333335</v>
      </c>
      <c r="C10" s="144">
        <f>IF(B10&lt;0,-1,1)</f>
        <v>1</v>
      </c>
      <c r="D10" s="146">
        <f>FLOOR(B10,C10)</f>
        <v>7</v>
      </c>
      <c r="E10" s="146">
        <f>+B10-D10</f>
        <v>6.3333333333333464E-2</v>
      </c>
      <c r="F10" s="146">
        <f>+E10/100*60</f>
        <v>3.8000000000000075E-2</v>
      </c>
      <c r="G10" s="261">
        <f t="shared" ref="G10:G39" si="8">+F10+D10</f>
        <v>7.0380000000000003</v>
      </c>
      <c r="H10" s="4">
        <v>2</v>
      </c>
      <c r="I10" s="16">
        <f t="shared" ref="I10:I39" si="9">+I9+1</f>
        <v>41610</v>
      </c>
      <c r="J10" s="6">
        <v>0.34826388888888887</v>
      </c>
      <c r="K10" s="6">
        <v>0.64236111111111105</v>
      </c>
      <c r="L10" s="5">
        <f>IF(K10&gt;0,ROUND(((K10-J10)*24)-SUM(CI10:CJ10)+CK10,2)+IF(Fredagsfrokost="n",IF(WEEKDAY($I10,2)=5,IF(K10&gt;=0.5,IF(K10&lt;=13/24,0,0),0),0),0),IF(BG10&gt;0,BG10,""))</f>
        <v>7.06</v>
      </c>
      <c r="M10" s="141">
        <f t="shared" si="0"/>
        <v>7</v>
      </c>
      <c r="N10" s="141">
        <f t="shared" si="1"/>
        <v>5.9999999999999609E-2</v>
      </c>
      <c r="O10" s="141">
        <f t="shared" si="2"/>
        <v>3.5999999999999761E-2</v>
      </c>
      <c r="P10" s="141">
        <f t="shared" si="3"/>
        <v>7.0359999999999996</v>
      </c>
      <c r="Q10" s="591"/>
      <c r="R10" s="592"/>
      <c r="S10" s="592"/>
      <c r="T10" s="593"/>
      <c r="U10" s="431"/>
      <c r="V10" s="417"/>
      <c r="W10" s="240">
        <f t="shared" ref="W10:W39" si="10">FLOOR(V10,1)</f>
        <v>0</v>
      </c>
      <c r="X10" s="240">
        <f t="shared" ref="X10:X39" si="11">+V10-W10</f>
        <v>0</v>
      </c>
      <c r="Y10" s="240">
        <f t="shared" ref="Y10:Y39" si="12">+X10/60*100</f>
        <v>0</v>
      </c>
      <c r="Z10" s="242">
        <f t="shared" ref="Z10:Z39" si="13">+Y10+W10</f>
        <v>0</v>
      </c>
      <c r="AA10" s="417"/>
      <c r="AB10" s="417"/>
      <c r="AC10" s="417"/>
      <c r="AD10" s="417"/>
      <c r="AE10" s="417"/>
      <c r="AF10" s="240">
        <f t="shared" ref="AF10:AF39" si="14">FLOOR(AE10,1)</f>
        <v>0</v>
      </c>
      <c r="AG10" s="240">
        <f t="shared" ref="AG10:AG39" si="15">+AE10-AF10</f>
        <v>0</v>
      </c>
      <c r="AH10" s="240">
        <f t="shared" ref="AH10:AH39" si="16">+AG10/60*100</f>
        <v>0</v>
      </c>
      <c r="AI10" s="242">
        <f t="shared" ref="AI10:AI39" si="17">+AH10+AF10</f>
        <v>0</v>
      </c>
      <c r="AJ10" s="417"/>
      <c r="AK10" s="417"/>
      <c r="AL10" s="417"/>
      <c r="AM10" s="417"/>
      <c r="AN10" s="472"/>
      <c r="AO10" s="240">
        <f t="shared" si="4"/>
        <v>0</v>
      </c>
      <c r="AP10" s="240">
        <f t="shared" si="5"/>
        <v>0</v>
      </c>
      <c r="AQ10" s="240">
        <f t="shared" si="6"/>
        <v>0</v>
      </c>
      <c r="AR10" s="242">
        <f t="shared" ref="AR10:AR39" si="18">+AQ10+AO10</f>
        <v>0</v>
      </c>
      <c r="AS10" s="245"/>
      <c r="AT10" s="245"/>
      <c r="AU10" s="245"/>
      <c r="AV10" s="419"/>
      <c r="BH10" s="170"/>
      <c r="BI10" s="189"/>
      <c r="BJ10" s="189"/>
      <c r="BK10" s="189"/>
      <c r="BL10" s="189"/>
      <c r="BM10" s="189"/>
      <c r="BN10" s="189"/>
      <c r="BO10" s="189"/>
      <c r="BP10" s="189"/>
      <c r="BQ10" s="189"/>
      <c r="BR10" s="170"/>
      <c r="BS10" s="144">
        <f>IF($K10&gt;=0,+SUM(L$9:$L10)-$B10+Dec!$BI$41+SUM(AR$9:$AR10)," ")</f>
        <v>2.4868995751603507E-14</v>
      </c>
      <c r="BT10" s="144">
        <f t="shared" ref="BT10:BT39" si="19">IF(BS10&lt;0,-1,1)</f>
        <v>1</v>
      </c>
      <c r="BU10" s="146">
        <f t="shared" ref="BU10:BU39" si="20">FLOOR(BS10,BT10)</f>
        <v>0</v>
      </c>
      <c r="BV10" s="146"/>
      <c r="BW10" s="146"/>
      <c r="BX10" s="146"/>
      <c r="BY10" s="146"/>
      <c r="BZ10" s="146"/>
      <c r="CA10" s="146">
        <f t="shared" ref="CA10:CA39" si="21">+BS10-BU10</f>
        <v>2.4868995751603507E-14</v>
      </c>
      <c r="CB10" s="146">
        <f t="shared" ref="CB10:CB39" si="22">+CA10/100*60</f>
        <v>1.4921397450962105E-14</v>
      </c>
      <c r="CC10" s="164">
        <f t="shared" ref="CC10:CC38" si="23">IF(CE10=2,+CB10+BU10,"")</f>
        <v>1.4921397450962105E-14</v>
      </c>
      <c r="CD10" s="157">
        <f t="shared" ref="CD10:CD39" si="24">+P10</f>
        <v>7.0359999999999996</v>
      </c>
      <c r="CE10">
        <f t="shared" si="7"/>
        <v>2</v>
      </c>
    </row>
    <row r="11" spans="1:83" ht="15.95" customHeight="1" x14ac:dyDescent="0.25">
      <c r="A11" s="83"/>
      <c r="B11" s="79">
        <f>IF($I11&lt;&gt;"",IF(WEEKDAY($I11,2)&lt;6,IF(VLOOKUP(WEEKDAY($I11,2),InputUge,3)&gt;0,IF($A11="",VLOOKUP(WEEKDAY($I11,2),InputUge,3)+MAX(B$8:B10),IF($A11&lt;VLOOKUP(WEEKDAY($I11,2),InputUge,3),$A11+MAX(B$8:B10),VLOOKUP(WEEKDAY($I11,2),InputUge,3)+MAX(B$8:B10))),""),""),"")</f>
        <v>14.129999999999999</v>
      </c>
      <c r="C11" s="144">
        <f t="shared" ref="C11:C34" si="25">IF(B11&lt;0,-1,1)</f>
        <v>1</v>
      </c>
      <c r="D11" s="146">
        <f t="shared" ref="D11:D32" si="26">FLOOR(B11,C11)</f>
        <v>14</v>
      </c>
      <c r="E11" s="146">
        <f t="shared" ref="E11:E32" si="27">+B11-D11</f>
        <v>0.12999999999999901</v>
      </c>
      <c r="F11" s="146">
        <f t="shared" ref="F11:F34" si="28">+E11/100*60</f>
        <v>7.7999999999999403E-2</v>
      </c>
      <c r="G11" s="261">
        <f t="shared" si="8"/>
        <v>14.077999999999999</v>
      </c>
      <c r="H11" s="4">
        <v>3</v>
      </c>
      <c r="I11" s="16">
        <f t="shared" si="9"/>
        <v>41611</v>
      </c>
      <c r="J11" s="6">
        <v>0.34791666666666665</v>
      </c>
      <c r="K11" s="6">
        <v>0.64236111111111105</v>
      </c>
      <c r="L11" s="5">
        <f>IF(K11&gt;0,ROUND(((K11-J11)*24)-SUM(CI11:CJ11)+CK11,2)+IF(Fredagsfrokost="n",IF(WEEKDAY($I11,2)=5,IF(K11&gt;=0.5,IF(K11&lt;=13/24,0,0),0),0),0),IF(BG11&gt;0,BG11,""))</f>
        <v>7.07</v>
      </c>
      <c r="M11" s="141">
        <f t="shared" si="0"/>
        <v>7</v>
      </c>
      <c r="N11" s="141">
        <f t="shared" si="1"/>
        <v>7.0000000000000284E-2</v>
      </c>
      <c r="O11" s="141">
        <f t="shared" si="2"/>
        <v>4.2000000000000169E-2</v>
      </c>
      <c r="P11" s="141">
        <f t="shared" si="3"/>
        <v>7.0419999999999998</v>
      </c>
      <c r="Q11" s="591"/>
      <c r="R11" s="592"/>
      <c r="S11" s="592"/>
      <c r="T11" s="593"/>
      <c r="U11" s="431"/>
      <c r="V11" s="417"/>
      <c r="W11" s="240">
        <f t="shared" si="10"/>
        <v>0</v>
      </c>
      <c r="X11" s="240">
        <f t="shared" si="11"/>
        <v>0</v>
      </c>
      <c r="Y11" s="240">
        <f t="shared" si="12"/>
        <v>0</v>
      </c>
      <c r="Z11" s="242">
        <f t="shared" si="13"/>
        <v>0</v>
      </c>
      <c r="AA11" s="417"/>
      <c r="AB11" s="417"/>
      <c r="AC11" s="417"/>
      <c r="AD11" s="417"/>
      <c r="AE11" s="417"/>
      <c r="AF11" s="240">
        <f t="shared" si="14"/>
        <v>0</v>
      </c>
      <c r="AG11" s="240">
        <f t="shared" si="15"/>
        <v>0</v>
      </c>
      <c r="AH11" s="240">
        <f t="shared" si="16"/>
        <v>0</v>
      </c>
      <c r="AI11" s="242">
        <f t="shared" si="17"/>
        <v>0</v>
      </c>
      <c r="AJ11" s="417"/>
      <c r="AK11" s="417"/>
      <c r="AL11" s="417"/>
      <c r="AM11" s="417"/>
      <c r="AN11" s="472"/>
      <c r="AO11" s="240">
        <f t="shared" si="4"/>
        <v>0</v>
      </c>
      <c r="AP11" s="240">
        <f t="shared" si="5"/>
        <v>0</v>
      </c>
      <c r="AQ11" s="240">
        <f t="shared" si="6"/>
        <v>0</v>
      </c>
      <c r="AR11" s="242">
        <f t="shared" si="18"/>
        <v>0</v>
      </c>
      <c r="AS11" s="245"/>
      <c r="AT11" s="245"/>
      <c r="AU11" s="245"/>
      <c r="AV11" s="420"/>
      <c r="BH11" s="170"/>
      <c r="BI11" s="189"/>
      <c r="BJ11" s="189"/>
      <c r="BK11" s="189"/>
      <c r="BL11" s="189"/>
      <c r="BM11" s="189"/>
      <c r="BN11" s="189"/>
      <c r="BO11" s="189"/>
      <c r="BP11" s="189"/>
      <c r="BQ11" s="189"/>
      <c r="BR11" s="170"/>
      <c r="BS11" s="144">
        <f>IF($K11&gt;=0,+SUM(L$9:$L11)-$B11+Dec!$BI$41+SUM(AR$9:$AR11)," ")</f>
        <v>3.3333333333587234E-3</v>
      </c>
      <c r="BT11" s="144">
        <f t="shared" si="19"/>
        <v>1</v>
      </c>
      <c r="BU11" s="146">
        <f t="shared" si="20"/>
        <v>0</v>
      </c>
      <c r="BV11" s="146"/>
      <c r="BW11" s="146"/>
      <c r="BX11" s="146"/>
      <c r="BY11" s="146"/>
      <c r="BZ11" s="146"/>
      <c r="CA11" s="146">
        <f t="shared" si="21"/>
        <v>3.3333333333587234E-3</v>
      </c>
      <c r="CB11" s="146">
        <f t="shared" si="22"/>
        <v>2.0000000000152339E-3</v>
      </c>
      <c r="CC11" s="164">
        <f t="shared" si="23"/>
        <v>2.0000000000152339E-3</v>
      </c>
      <c r="CD11" s="157">
        <f t="shared" si="24"/>
        <v>7.0419999999999998</v>
      </c>
      <c r="CE11">
        <f t="shared" si="7"/>
        <v>2</v>
      </c>
    </row>
    <row r="12" spans="1:83" ht="15.95" customHeight="1" x14ac:dyDescent="0.25">
      <c r="A12" s="83"/>
      <c r="B12" s="79">
        <f>IF($I12&lt;&gt;"",IF(WEEKDAY($I12,2)&lt;6,IF(VLOOKUP(WEEKDAY($I12,2),InputUge,3)&gt;0,IF($A12="",VLOOKUP(WEEKDAY($I12,2),InputUge,3)+MAX(B$8:B11),IF($A12&lt;VLOOKUP(WEEKDAY($I12,2),InputUge,3),$A12+MAX(B$8:B11),VLOOKUP(WEEKDAY($I12,2),InputUge,3)+MAX(B$8:B11))),""),""),"")</f>
        <v>21.196666666666665</v>
      </c>
      <c r="C12" s="144">
        <f t="shared" si="25"/>
        <v>1</v>
      </c>
      <c r="D12" s="146">
        <f t="shared" si="26"/>
        <v>21</v>
      </c>
      <c r="E12" s="146">
        <f t="shared" si="27"/>
        <v>0.19666666666666544</v>
      </c>
      <c r="F12" s="146">
        <f t="shared" si="28"/>
        <v>0.11799999999999926</v>
      </c>
      <c r="G12" s="261">
        <f t="shared" si="8"/>
        <v>21.117999999999999</v>
      </c>
      <c r="H12" s="4">
        <v>4</v>
      </c>
      <c r="I12" s="16">
        <f t="shared" si="9"/>
        <v>41612</v>
      </c>
      <c r="J12" s="6">
        <v>0.34791666666666665</v>
      </c>
      <c r="K12" s="6">
        <v>0.64236111111111105</v>
      </c>
      <c r="L12" s="5">
        <f>IF(K12&gt;0,ROUND(((K12-J12)*24)-SUM(CI12:CJ12)+CK12,2)+IF(Fredagsfrokost="n",IF(WEEKDAY($I12,2)=5,IF(K12&gt;=0.5,IF(K12&lt;=13/24,0,0),0),0),0),IF(BG12&gt;0,BG12,""))</f>
        <v>7.07</v>
      </c>
      <c r="M12" s="141">
        <f t="shared" si="0"/>
        <v>7</v>
      </c>
      <c r="N12" s="141">
        <f t="shared" si="1"/>
        <v>7.0000000000000284E-2</v>
      </c>
      <c r="O12" s="141">
        <f t="shared" si="2"/>
        <v>4.2000000000000169E-2</v>
      </c>
      <c r="P12" s="141">
        <f t="shared" si="3"/>
        <v>7.0419999999999998</v>
      </c>
      <c r="Q12" s="591"/>
      <c r="R12" s="592"/>
      <c r="S12" s="592"/>
      <c r="T12" s="593"/>
      <c r="U12" s="431"/>
      <c r="V12" s="417"/>
      <c r="W12" s="240">
        <f t="shared" si="10"/>
        <v>0</v>
      </c>
      <c r="X12" s="240">
        <f t="shared" si="11"/>
        <v>0</v>
      </c>
      <c r="Y12" s="240">
        <f t="shared" si="12"/>
        <v>0</v>
      </c>
      <c r="Z12" s="242">
        <f t="shared" si="13"/>
        <v>0</v>
      </c>
      <c r="AA12" s="417"/>
      <c r="AB12" s="417"/>
      <c r="AC12" s="417"/>
      <c r="AD12" s="417"/>
      <c r="AE12" s="417"/>
      <c r="AF12" s="240">
        <f t="shared" si="14"/>
        <v>0</v>
      </c>
      <c r="AG12" s="240">
        <f t="shared" si="15"/>
        <v>0</v>
      </c>
      <c r="AH12" s="240">
        <f t="shared" si="16"/>
        <v>0</v>
      </c>
      <c r="AI12" s="242">
        <f t="shared" si="17"/>
        <v>0</v>
      </c>
      <c r="AJ12" s="417"/>
      <c r="AK12" s="417"/>
      <c r="AL12" s="417"/>
      <c r="AM12" s="417"/>
      <c r="AN12" s="472"/>
      <c r="AO12" s="240">
        <f t="shared" si="4"/>
        <v>0</v>
      </c>
      <c r="AP12" s="240">
        <f t="shared" si="5"/>
        <v>0</v>
      </c>
      <c r="AQ12" s="240">
        <f t="shared" si="6"/>
        <v>0</v>
      </c>
      <c r="AR12" s="242">
        <f t="shared" si="18"/>
        <v>0</v>
      </c>
      <c r="AS12" s="245"/>
      <c r="AT12" s="245"/>
      <c r="AU12" s="245"/>
      <c r="AV12" s="420"/>
      <c r="BH12" s="170"/>
      <c r="BI12" s="189"/>
      <c r="BJ12" s="189"/>
      <c r="BK12" s="189"/>
      <c r="BL12" s="189"/>
      <c r="BM12" s="189"/>
      <c r="BN12" s="189"/>
      <c r="BO12" s="189"/>
      <c r="BP12" s="189"/>
      <c r="BQ12" s="189"/>
      <c r="BR12" s="170"/>
      <c r="BS12" s="144">
        <f>IF($K12&gt;=0,+SUM(L$9:$L12)-$B12+Dec!$BI$41+SUM(AR$9:$AR12)," ")</f>
        <v>6.6666666666925778E-3</v>
      </c>
      <c r="BT12" s="144">
        <f t="shared" si="19"/>
        <v>1</v>
      </c>
      <c r="BU12" s="146">
        <f t="shared" si="20"/>
        <v>0</v>
      </c>
      <c r="BV12" s="146"/>
      <c r="BW12" s="146"/>
      <c r="BX12" s="146"/>
      <c r="BY12" s="146"/>
      <c r="BZ12" s="146"/>
      <c r="CA12" s="146">
        <f t="shared" si="21"/>
        <v>6.6666666666925778E-3</v>
      </c>
      <c r="CB12" s="146">
        <f t="shared" si="22"/>
        <v>4.0000000000155467E-3</v>
      </c>
      <c r="CC12" s="164">
        <f t="shared" si="23"/>
        <v>4.0000000000155467E-3</v>
      </c>
      <c r="CD12" s="157">
        <f t="shared" si="24"/>
        <v>7.0419999999999998</v>
      </c>
      <c r="CE12">
        <f t="shared" si="7"/>
        <v>2</v>
      </c>
    </row>
    <row r="13" spans="1:83" ht="15.95" customHeight="1" x14ac:dyDescent="0.25">
      <c r="A13" s="83"/>
      <c r="B13" s="79">
        <f>IF($I13&lt;&gt;"",IF(WEEKDAY($I13,2)&lt;6,IF(VLOOKUP(WEEKDAY($I13,2),InputUge,3)&gt;0,IF($A13="",VLOOKUP(WEEKDAY($I13,2),InputUge,3)+MAX(B$8:B12),IF($A13&lt;VLOOKUP(WEEKDAY($I13,2),InputUge,3),$A13+MAX(B$8:B12),VLOOKUP(WEEKDAY($I13,2),InputUge,3)+MAX(B$8:B12))),""),""),"")</f>
        <v>30.606666666666666</v>
      </c>
      <c r="C13" s="144">
        <f t="shared" si="25"/>
        <v>1</v>
      </c>
      <c r="D13" s="146">
        <f t="shared" si="26"/>
        <v>30</v>
      </c>
      <c r="E13" s="146">
        <f t="shared" si="27"/>
        <v>0.60666666666666558</v>
      </c>
      <c r="F13" s="146">
        <f t="shared" si="28"/>
        <v>0.36399999999999938</v>
      </c>
      <c r="G13" s="261">
        <f t="shared" si="8"/>
        <v>30.364000000000001</v>
      </c>
      <c r="H13" s="4">
        <v>5</v>
      </c>
      <c r="I13" s="16">
        <f t="shared" si="9"/>
        <v>41613</v>
      </c>
      <c r="J13" s="6">
        <v>0.34791666666666665</v>
      </c>
      <c r="K13" s="6">
        <v>0.73958333333333337</v>
      </c>
      <c r="L13" s="5">
        <f>IF(K13&gt;0,ROUND(((K13-J13)*24)-SUM(CI13:CJ13)+CK13,2)+IF(Fredagsfrokost="n",IF(WEEKDAY($I13,2)=5,IF(K13&gt;=0.5,IF(K13&lt;=13/24,0,0),0),0),0),IF(BG13&gt;0,BG13,""))</f>
        <v>9.4</v>
      </c>
      <c r="M13" s="141">
        <f t="shared" si="0"/>
        <v>9</v>
      </c>
      <c r="N13" s="141">
        <f t="shared" si="1"/>
        <v>0.40000000000000036</v>
      </c>
      <c r="O13" s="141">
        <f t="shared" si="2"/>
        <v>0.24000000000000021</v>
      </c>
      <c r="P13" s="141">
        <f t="shared" si="3"/>
        <v>9.24</v>
      </c>
      <c r="Q13" s="591"/>
      <c r="R13" s="592"/>
      <c r="S13" s="592"/>
      <c r="T13" s="593"/>
      <c r="U13" s="431"/>
      <c r="V13" s="417"/>
      <c r="W13" s="240">
        <f t="shared" si="10"/>
        <v>0</v>
      </c>
      <c r="X13" s="240">
        <f t="shared" si="11"/>
        <v>0</v>
      </c>
      <c r="Y13" s="240">
        <f t="shared" si="12"/>
        <v>0</v>
      </c>
      <c r="Z13" s="242">
        <f t="shared" si="13"/>
        <v>0</v>
      </c>
      <c r="AA13" s="417"/>
      <c r="AB13" s="417"/>
      <c r="AC13" s="417"/>
      <c r="AD13" s="417"/>
      <c r="AE13" s="417"/>
      <c r="AF13" s="240">
        <f t="shared" si="14"/>
        <v>0</v>
      </c>
      <c r="AG13" s="240">
        <f t="shared" si="15"/>
        <v>0</v>
      </c>
      <c r="AH13" s="240">
        <f t="shared" si="16"/>
        <v>0</v>
      </c>
      <c r="AI13" s="242">
        <f t="shared" si="17"/>
        <v>0</v>
      </c>
      <c r="AJ13" s="417"/>
      <c r="AK13" s="417"/>
      <c r="AL13" s="417"/>
      <c r="AM13" s="417"/>
      <c r="AN13" s="472"/>
      <c r="AO13" s="240">
        <f t="shared" si="4"/>
        <v>0</v>
      </c>
      <c r="AP13" s="240">
        <f t="shared" si="5"/>
        <v>0</v>
      </c>
      <c r="AQ13" s="240">
        <f t="shared" si="6"/>
        <v>0</v>
      </c>
      <c r="AR13" s="242">
        <f t="shared" si="18"/>
        <v>0</v>
      </c>
      <c r="AS13" s="245"/>
      <c r="AT13" s="245"/>
      <c r="AU13" s="245"/>
      <c r="AV13" s="240"/>
      <c r="BH13" s="170"/>
      <c r="BI13" s="189"/>
      <c r="BJ13" s="189"/>
      <c r="BK13" s="189"/>
      <c r="BL13" s="189"/>
      <c r="BM13" s="189"/>
      <c r="BN13" s="189"/>
      <c r="BO13" s="189"/>
      <c r="BP13" s="189"/>
      <c r="BQ13" s="189"/>
      <c r="BR13" s="170"/>
      <c r="BS13" s="144">
        <f>IF($K13&gt;=0,+SUM(L$9:$L13)-$B13+Dec!$BI$41+SUM(AR$9:$AR13)," ")</f>
        <v>-3.3333333333054327E-3</v>
      </c>
      <c r="BT13" s="144">
        <f>IF(BS13&lt;0,-1,1)</f>
        <v>-1</v>
      </c>
      <c r="BU13" s="146">
        <f>FLOOR(BS13,BT13)</f>
        <v>0</v>
      </c>
      <c r="BV13" s="146"/>
      <c r="BW13" s="146"/>
      <c r="BX13" s="146"/>
      <c r="BY13" s="146"/>
      <c r="BZ13" s="146"/>
      <c r="CA13" s="146">
        <f>+BS13-BU13</f>
        <v>-3.3333333333054327E-3</v>
      </c>
      <c r="CB13" s="146">
        <f>+CA13/100*60</f>
        <v>-1.99999999998326E-3</v>
      </c>
      <c r="CC13" s="164">
        <f>IF(CE13=2,+CB13+BU13,"")</f>
        <v>-1.99999999998326E-3</v>
      </c>
      <c r="CD13" s="157">
        <f>+P13</f>
        <v>9.24</v>
      </c>
      <c r="CE13">
        <f t="shared" si="7"/>
        <v>2</v>
      </c>
    </row>
    <row r="14" spans="1:83" ht="15.95" customHeight="1" x14ac:dyDescent="0.25">
      <c r="A14" s="83"/>
      <c r="B14" s="79">
        <f>IF($I14&lt;&gt;"",IF(WEEKDAY($I14,2)&lt;6,IF(VLOOKUP(WEEKDAY($I14,2),InputUge,3)&gt;0,IF($A14="",VLOOKUP(WEEKDAY($I14,2),InputUge,3)+MAX(B$8:B13),IF($A14&lt;VLOOKUP(WEEKDAY($I14,2),InputUge,3),$A14+MAX(B$8:B13),VLOOKUP(WEEKDAY($I14,2),InputUge,3)+MAX(B$8:B13))),""),""),"")</f>
        <v>37.006666666666668</v>
      </c>
      <c r="C14" s="144">
        <f t="shared" si="25"/>
        <v>1</v>
      </c>
      <c r="D14" s="146">
        <f t="shared" si="26"/>
        <v>37</v>
      </c>
      <c r="E14" s="146">
        <f t="shared" si="27"/>
        <v>6.6666666666677088E-3</v>
      </c>
      <c r="F14" s="146">
        <f t="shared" si="28"/>
        <v>4.0000000000006255E-3</v>
      </c>
      <c r="G14" s="261">
        <f t="shared" si="8"/>
        <v>37.003999999999998</v>
      </c>
      <c r="H14" s="4">
        <v>6</v>
      </c>
      <c r="I14" s="16">
        <f t="shared" si="9"/>
        <v>41614</v>
      </c>
      <c r="J14" s="6">
        <v>0.34791666666666665</v>
      </c>
      <c r="K14" s="6">
        <v>0.61458333333333337</v>
      </c>
      <c r="L14" s="5">
        <f>IF(K14&gt;0,ROUND(((K14-J14)*24)-SUM(CI14:CJ14)+CK14,2)+IF(Fredagsfrokost="n",IF(WEEKDAY($I14,2)=5,IF(K14&gt;=0.5,IF(K14&lt;=13/24,0,0),0),0),0),IF(BG14&gt;0,BG14,""))</f>
        <v>6.4</v>
      </c>
      <c r="M14" s="141">
        <f t="shared" si="0"/>
        <v>6</v>
      </c>
      <c r="N14" s="141">
        <f t="shared" si="1"/>
        <v>0.40000000000000036</v>
      </c>
      <c r="O14" s="141">
        <f t="shared" si="2"/>
        <v>0.24000000000000021</v>
      </c>
      <c r="P14" s="141">
        <f t="shared" si="3"/>
        <v>6.24</v>
      </c>
      <c r="Q14" s="591"/>
      <c r="R14" s="592"/>
      <c r="S14" s="592"/>
      <c r="T14" s="593"/>
      <c r="U14" s="431"/>
      <c r="V14" s="417"/>
      <c r="W14" s="240">
        <f t="shared" si="10"/>
        <v>0</v>
      </c>
      <c r="X14" s="240">
        <f t="shared" si="11"/>
        <v>0</v>
      </c>
      <c r="Y14" s="240">
        <f t="shared" si="12"/>
        <v>0</v>
      </c>
      <c r="Z14" s="242">
        <f t="shared" si="13"/>
        <v>0</v>
      </c>
      <c r="AA14" s="417"/>
      <c r="AB14" s="417"/>
      <c r="AC14" s="417"/>
      <c r="AD14" s="417"/>
      <c r="AE14" s="417"/>
      <c r="AF14" s="240">
        <f t="shared" si="14"/>
        <v>0</v>
      </c>
      <c r="AG14" s="240">
        <f t="shared" si="15"/>
        <v>0</v>
      </c>
      <c r="AH14" s="240">
        <f t="shared" si="16"/>
        <v>0</v>
      </c>
      <c r="AI14" s="242">
        <f t="shared" si="17"/>
        <v>0</v>
      </c>
      <c r="AJ14" s="417"/>
      <c r="AK14" s="417"/>
      <c r="AL14" s="417"/>
      <c r="AM14" s="417"/>
      <c r="AN14" s="472"/>
      <c r="AO14" s="240">
        <f t="shared" si="4"/>
        <v>0</v>
      </c>
      <c r="AP14" s="240">
        <f t="shared" si="5"/>
        <v>0</v>
      </c>
      <c r="AQ14" s="240">
        <f t="shared" si="6"/>
        <v>0</v>
      </c>
      <c r="AR14" s="242">
        <f t="shared" si="18"/>
        <v>0</v>
      </c>
      <c r="AS14" s="245"/>
      <c r="AT14" s="245"/>
      <c r="AU14" s="245"/>
      <c r="AV14" s="420"/>
      <c r="BH14" s="170"/>
      <c r="BI14" s="189"/>
      <c r="BJ14" s="189"/>
      <c r="BK14" s="189"/>
      <c r="BL14" s="189"/>
      <c r="BM14" s="189"/>
      <c r="BN14" s="189"/>
      <c r="BO14" s="189"/>
      <c r="BP14" s="189"/>
      <c r="BQ14" s="189"/>
      <c r="BR14" s="170"/>
      <c r="BS14" s="144">
        <f>IF($K14&gt;=0,+SUM(L$9:$L14)-$B14+Dec!$BI$41+SUM(AR$9:$AR14)," ")</f>
        <v>-3.3333333333089854E-3</v>
      </c>
      <c r="BT14" s="144">
        <f t="shared" si="19"/>
        <v>-1</v>
      </c>
      <c r="BU14" s="146">
        <f t="shared" si="20"/>
        <v>0</v>
      </c>
      <c r="BV14" s="146"/>
      <c r="BW14" s="146"/>
      <c r="BX14" s="146"/>
      <c r="BY14" s="146"/>
      <c r="BZ14" s="146"/>
      <c r="CA14" s="146">
        <f t="shared" si="21"/>
        <v>-3.3333333333089854E-3</v>
      </c>
      <c r="CB14" s="146">
        <f t="shared" si="22"/>
        <v>-1.9999999999853915E-3</v>
      </c>
      <c r="CC14" s="164">
        <f t="shared" si="23"/>
        <v>-1.9999999999853915E-3</v>
      </c>
      <c r="CD14" s="157">
        <f t="shared" si="24"/>
        <v>6.24</v>
      </c>
      <c r="CE14">
        <f t="shared" si="7"/>
        <v>2</v>
      </c>
    </row>
    <row r="15" spans="1:83" ht="15.95" customHeight="1" x14ac:dyDescent="0.25">
      <c r="A15" s="83"/>
      <c r="B15" s="79" t="str">
        <f>IF($I15&lt;&gt;"",IF(WEEKDAY($I15,2)&lt;6,IF(VLOOKUP(WEEKDAY($I15,2),InputUge,3)&gt;0,IF($A15="",VLOOKUP(WEEKDAY($I15,2),InputUge,3)+MAX(B$8:B14),IF($A15&lt;VLOOKUP(WEEKDAY($I15,2),InputUge,3),$A15+MAX(B$8:B14),VLOOKUP(WEEKDAY($I15,2),InputUge,3)+MAX(B$8:B14))),""),""),"")</f>
        <v/>
      </c>
      <c r="C15" s="144">
        <f t="shared" si="25"/>
        <v>1</v>
      </c>
      <c r="D15" s="146" t="e">
        <f t="shared" si="26"/>
        <v>#VALUE!</v>
      </c>
      <c r="E15" s="146" t="e">
        <f t="shared" si="27"/>
        <v>#VALUE!</v>
      </c>
      <c r="F15" s="146" t="e">
        <f t="shared" si="28"/>
        <v>#VALUE!</v>
      </c>
      <c r="G15" s="261"/>
      <c r="H15" s="4">
        <v>7</v>
      </c>
      <c r="I15" s="16">
        <f t="shared" si="9"/>
        <v>41615</v>
      </c>
      <c r="J15" s="6"/>
      <c r="K15" s="6"/>
      <c r="L15" s="5"/>
      <c r="M15" s="141"/>
      <c r="N15" s="141"/>
      <c r="O15" s="141"/>
      <c r="P15" s="141"/>
      <c r="Q15" s="591"/>
      <c r="R15" s="592"/>
      <c r="S15" s="592"/>
      <c r="T15" s="593"/>
      <c r="U15" s="431"/>
      <c r="V15" s="417"/>
      <c r="W15" s="240">
        <f t="shared" si="10"/>
        <v>0</v>
      </c>
      <c r="X15" s="240">
        <f t="shared" si="11"/>
        <v>0</v>
      </c>
      <c r="Y15" s="240">
        <f t="shared" si="12"/>
        <v>0</v>
      </c>
      <c r="Z15" s="242">
        <f t="shared" si="13"/>
        <v>0</v>
      </c>
      <c r="AA15" s="417"/>
      <c r="AB15" s="417"/>
      <c r="AC15" s="417"/>
      <c r="AD15" s="417"/>
      <c r="AE15" s="417"/>
      <c r="AF15" s="240">
        <f t="shared" si="14"/>
        <v>0</v>
      </c>
      <c r="AG15" s="240">
        <f t="shared" si="15"/>
        <v>0</v>
      </c>
      <c r="AH15" s="240">
        <f t="shared" si="16"/>
        <v>0</v>
      </c>
      <c r="AI15" s="242">
        <f t="shared" si="17"/>
        <v>0</v>
      </c>
      <c r="AJ15" s="417"/>
      <c r="AK15" s="417"/>
      <c r="AL15" s="417"/>
      <c r="AM15" s="417"/>
      <c r="AN15" s="472"/>
      <c r="AO15" s="240">
        <f t="shared" si="4"/>
        <v>0</v>
      </c>
      <c r="AP15" s="240">
        <f t="shared" si="5"/>
        <v>0</v>
      </c>
      <c r="AQ15" s="240">
        <f t="shared" si="6"/>
        <v>0</v>
      </c>
      <c r="AR15" s="242">
        <f t="shared" si="18"/>
        <v>0</v>
      </c>
      <c r="AS15" s="245"/>
      <c r="AT15" s="245"/>
      <c r="AU15" s="245"/>
      <c r="AV15" s="420"/>
      <c r="BH15" s="170"/>
      <c r="BI15" s="189"/>
      <c r="BJ15" s="189"/>
      <c r="BK15" s="189"/>
      <c r="BL15" s="189"/>
      <c r="BM15" s="189"/>
      <c r="BN15" s="189"/>
      <c r="BO15" s="189"/>
      <c r="BP15" s="189"/>
      <c r="BQ15" s="189"/>
      <c r="BR15" s="170"/>
      <c r="BS15" s="144" t="e">
        <f>IF($K15&gt;=0,+SUM(L$9:$L15)-$B15+Dec!$BI$41+SUM(AR$9:$AR15)," ")</f>
        <v>#VALUE!</v>
      </c>
      <c r="BT15" s="144" t="e">
        <f t="shared" si="19"/>
        <v>#VALUE!</v>
      </c>
      <c r="BU15" s="146" t="e">
        <f t="shared" si="20"/>
        <v>#VALUE!</v>
      </c>
      <c r="BV15" s="146"/>
      <c r="BW15" s="146"/>
      <c r="BX15" s="146"/>
      <c r="BY15" s="146"/>
      <c r="BZ15" s="146"/>
      <c r="CA15" s="146" t="e">
        <f t="shared" si="21"/>
        <v>#VALUE!</v>
      </c>
      <c r="CB15" s="146" t="e">
        <f t="shared" si="22"/>
        <v>#VALUE!</v>
      </c>
      <c r="CC15" s="164"/>
      <c r="CD15" s="157">
        <f t="shared" si="24"/>
        <v>0</v>
      </c>
      <c r="CE15">
        <f t="shared" si="7"/>
        <v>2</v>
      </c>
    </row>
    <row r="16" spans="1:83" ht="15.95" customHeight="1" x14ac:dyDescent="0.25">
      <c r="A16" s="83"/>
      <c r="B16" s="79" t="str">
        <f>IF($I16&lt;&gt;"",IF(WEEKDAY($I16,2)&lt;6,IF(VLOOKUP(WEEKDAY($I16,2),InputUge,3)&gt;0,IF($A16="",VLOOKUP(WEEKDAY($I16,2),InputUge,3)+MAX(B$8:B15),IF($A16&lt;VLOOKUP(WEEKDAY($I16,2),InputUge,3),$A16+MAX(B$8:B15),VLOOKUP(WEEKDAY($I16,2),InputUge,3)+MAX(B$8:B15))),""),""),"")</f>
        <v/>
      </c>
      <c r="C16" s="144">
        <f t="shared" si="25"/>
        <v>1</v>
      </c>
      <c r="D16" s="146" t="e">
        <f t="shared" si="26"/>
        <v>#VALUE!</v>
      </c>
      <c r="E16" s="146" t="e">
        <f t="shared" si="27"/>
        <v>#VALUE!</v>
      </c>
      <c r="F16" s="146" t="e">
        <f t="shared" si="28"/>
        <v>#VALUE!</v>
      </c>
      <c r="G16" s="261"/>
      <c r="H16" s="4">
        <v>8</v>
      </c>
      <c r="I16" s="16">
        <f t="shared" si="9"/>
        <v>41616</v>
      </c>
      <c r="J16" s="6"/>
      <c r="K16" s="6"/>
      <c r="L16" s="5"/>
      <c r="M16" s="141">
        <f t="shared" ref="M16:M21" si="29">FLOOR(L16,1)</f>
        <v>0</v>
      </c>
      <c r="N16" s="141">
        <f t="shared" ref="N16:N21" si="30">+L16-M16</f>
        <v>0</v>
      </c>
      <c r="O16" s="141">
        <f t="shared" ref="O16:O21" si="31">+N16/100*60</f>
        <v>0</v>
      </c>
      <c r="P16" s="141" t="str">
        <f t="shared" ref="P16:P21" si="32">IF(J16="","",O16+M16)</f>
        <v/>
      </c>
      <c r="Q16" s="591"/>
      <c r="R16" s="592"/>
      <c r="S16" s="592"/>
      <c r="T16" s="593"/>
      <c r="U16" s="431"/>
      <c r="V16" s="417"/>
      <c r="W16" s="240">
        <f t="shared" si="10"/>
        <v>0</v>
      </c>
      <c r="X16" s="240">
        <f t="shared" si="11"/>
        <v>0</v>
      </c>
      <c r="Y16" s="240">
        <f t="shared" si="12"/>
        <v>0</v>
      </c>
      <c r="Z16" s="242">
        <f t="shared" si="13"/>
        <v>0</v>
      </c>
      <c r="AA16" s="417"/>
      <c r="AB16" s="417"/>
      <c r="AC16" s="417"/>
      <c r="AD16" s="417"/>
      <c r="AE16" s="417"/>
      <c r="AF16" s="240">
        <f t="shared" si="14"/>
        <v>0</v>
      </c>
      <c r="AG16" s="240">
        <f t="shared" si="15"/>
        <v>0</v>
      </c>
      <c r="AH16" s="240">
        <f t="shared" si="16"/>
        <v>0</v>
      </c>
      <c r="AI16" s="242">
        <f t="shared" si="17"/>
        <v>0</v>
      </c>
      <c r="AJ16" s="417"/>
      <c r="AK16" s="417"/>
      <c r="AL16" s="417"/>
      <c r="AM16" s="417"/>
      <c r="AN16" s="472"/>
      <c r="AO16" s="240">
        <f t="shared" si="4"/>
        <v>0</v>
      </c>
      <c r="AP16" s="240">
        <f t="shared" si="5"/>
        <v>0</v>
      </c>
      <c r="AQ16" s="240">
        <f t="shared" si="6"/>
        <v>0</v>
      </c>
      <c r="AR16" s="242">
        <f t="shared" si="18"/>
        <v>0</v>
      </c>
      <c r="AS16" s="245"/>
      <c r="AT16" s="245"/>
      <c r="AU16" s="245"/>
      <c r="AV16" s="420"/>
      <c r="BH16" s="170"/>
      <c r="BI16" s="189"/>
      <c r="BJ16" s="189"/>
      <c r="BK16" s="189"/>
      <c r="BL16" s="189"/>
      <c r="BM16" s="189"/>
      <c r="BN16" s="189"/>
      <c r="BO16" s="189"/>
      <c r="BP16" s="189"/>
      <c r="BQ16" s="189"/>
      <c r="BR16" s="170"/>
      <c r="BS16" s="144" t="e">
        <f>IF($K16&gt;=0,+SUM(L$9:$L16)-$B16+Dec!$BI$41+SUM(AR$9:$AR16)," ")</f>
        <v>#VALUE!</v>
      </c>
      <c r="BT16" s="144" t="e">
        <f t="shared" si="19"/>
        <v>#VALUE!</v>
      </c>
      <c r="BU16" s="146" t="e">
        <f t="shared" si="20"/>
        <v>#VALUE!</v>
      </c>
      <c r="BV16" s="146"/>
      <c r="BW16" s="146"/>
      <c r="BX16" s="146"/>
      <c r="BY16" s="146"/>
      <c r="BZ16" s="146"/>
      <c r="CA16" s="146" t="e">
        <f t="shared" si="21"/>
        <v>#VALUE!</v>
      </c>
      <c r="CB16" s="146" t="e">
        <f t="shared" si="22"/>
        <v>#VALUE!</v>
      </c>
      <c r="CC16" s="164" t="str">
        <f t="shared" si="23"/>
        <v/>
      </c>
      <c r="CD16" s="157" t="str">
        <f t="shared" si="24"/>
        <v/>
      </c>
      <c r="CE16">
        <f t="shared" si="7"/>
        <v>1</v>
      </c>
    </row>
    <row r="17" spans="1:83" ht="15.95" customHeight="1" x14ac:dyDescent="0.25">
      <c r="A17" s="83"/>
      <c r="B17" s="79">
        <f>IF($I17&lt;&gt;"",IF(WEEKDAY($I17,2)&lt;6,IF(VLOOKUP(WEEKDAY($I17,2),InputUge,3)&gt;0,IF($A17="",VLOOKUP(WEEKDAY($I17,2),InputUge,3)+MAX(B$8:B16),IF($A17&lt;VLOOKUP(WEEKDAY($I17,2),InputUge,3),$A17+MAX(B$8:B16),VLOOKUP(WEEKDAY($I17,2),InputUge,3)+MAX(B$8:B16))),""),""),"")</f>
        <v>44.07</v>
      </c>
      <c r="C17" s="144">
        <f t="shared" si="25"/>
        <v>1</v>
      </c>
      <c r="D17" s="146">
        <f t="shared" si="26"/>
        <v>44</v>
      </c>
      <c r="E17" s="146">
        <f t="shared" si="27"/>
        <v>7.0000000000000284E-2</v>
      </c>
      <c r="F17" s="146">
        <f t="shared" si="28"/>
        <v>4.2000000000000169E-2</v>
      </c>
      <c r="G17" s="261">
        <f t="shared" si="8"/>
        <v>44.042000000000002</v>
      </c>
      <c r="H17" s="4">
        <v>9</v>
      </c>
      <c r="I17" s="16">
        <f t="shared" si="9"/>
        <v>41617</v>
      </c>
      <c r="J17" s="6">
        <v>0.34826388888888887</v>
      </c>
      <c r="K17" s="6">
        <v>0.64236111111111105</v>
      </c>
      <c r="L17" s="5">
        <f>IF(K17&gt;0,ROUND(((K17-J17)*24)-SUM(CI17:CJ17)+CK17,2)+IF(Fredagsfrokost="n",IF(WEEKDAY($I17,2)=5,IF(K17&gt;=0.5,IF(K17&lt;=13/24,0,0),0),0),0),IF(BG17&gt;0,BG17,""))</f>
        <v>7.06</v>
      </c>
      <c r="M17" s="141">
        <f t="shared" si="29"/>
        <v>7</v>
      </c>
      <c r="N17" s="141">
        <f t="shared" si="30"/>
        <v>5.9999999999999609E-2</v>
      </c>
      <c r="O17" s="141">
        <f t="shared" si="31"/>
        <v>3.5999999999999761E-2</v>
      </c>
      <c r="P17" s="141">
        <f t="shared" si="32"/>
        <v>7.0359999999999996</v>
      </c>
      <c r="Q17" s="591"/>
      <c r="R17" s="592"/>
      <c r="S17" s="592"/>
      <c r="T17" s="593"/>
      <c r="U17" s="431"/>
      <c r="V17" s="417"/>
      <c r="W17" s="240">
        <f t="shared" si="10"/>
        <v>0</v>
      </c>
      <c r="X17" s="240">
        <f t="shared" si="11"/>
        <v>0</v>
      </c>
      <c r="Y17" s="240">
        <f t="shared" si="12"/>
        <v>0</v>
      </c>
      <c r="Z17" s="242">
        <f t="shared" si="13"/>
        <v>0</v>
      </c>
      <c r="AA17" s="417"/>
      <c r="AB17" s="417"/>
      <c r="AC17" s="417"/>
      <c r="AD17" s="417"/>
      <c r="AE17" s="417"/>
      <c r="AF17" s="240">
        <f t="shared" si="14"/>
        <v>0</v>
      </c>
      <c r="AG17" s="240">
        <f t="shared" si="15"/>
        <v>0</v>
      </c>
      <c r="AH17" s="240">
        <f t="shared" si="16"/>
        <v>0</v>
      </c>
      <c r="AI17" s="242">
        <f t="shared" si="17"/>
        <v>0</v>
      </c>
      <c r="AJ17" s="417"/>
      <c r="AK17" s="417"/>
      <c r="AL17" s="417"/>
      <c r="AM17" s="417"/>
      <c r="AN17" s="472"/>
      <c r="AO17" s="240">
        <f t="shared" si="4"/>
        <v>0</v>
      </c>
      <c r="AP17" s="240">
        <f t="shared" si="5"/>
        <v>0</v>
      </c>
      <c r="AQ17" s="240">
        <f t="shared" si="6"/>
        <v>0</v>
      </c>
      <c r="AR17" s="242">
        <f t="shared" si="18"/>
        <v>0</v>
      </c>
      <c r="AS17" s="245"/>
      <c r="AT17" s="245"/>
      <c r="AU17" s="245"/>
      <c r="AV17" s="420"/>
      <c r="BH17" s="170"/>
      <c r="BI17" s="189"/>
      <c r="BJ17" s="189"/>
      <c r="BK17" s="189"/>
      <c r="BL17" s="189"/>
      <c r="BM17" s="189"/>
      <c r="BN17" s="189"/>
      <c r="BO17" s="189"/>
      <c r="BP17" s="189"/>
      <c r="BQ17" s="189"/>
      <c r="BR17" s="170"/>
      <c r="BS17" s="144">
        <f>IF($K17&gt;=0,+SUM(L$9:$L17)-$B17+Dec!$BI$41+SUM(AR$9:$AR17)," ")</f>
        <v>-6.6666666666392871E-3</v>
      </c>
      <c r="BT17" s="144">
        <f t="shared" si="19"/>
        <v>-1</v>
      </c>
      <c r="BU17" s="146">
        <f t="shared" si="20"/>
        <v>0</v>
      </c>
      <c r="BV17" s="146"/>
      <c r="BW17" s="146"/>
      <c r="BX17" s="146"/>
      <c r="BY17" s="146"/>
      <c r="BZ17" s="146"/>
      <c r="CA17" s="146">
        <f t="shared" si="21"/>
        <v>-6.6666666666392871E-3</v>
      </c>
      <c r="CB17" s="146">
        <f t="shared" si="22"/>
        <v>-3.9999999999835723E-3</v>
      </c>
      <c r="CC17" s="164">
        <f t="shared" si="23"/>
        <v>-3.9999999999835723E-3</v>
      </c>
      <c r="CD17" s="157">
        <f t="shared" si="24"/>
        <v>7.0359999999999996</v>
      </c>
      <c r="CE17">
        <f t="shared" si="7"/>
        <v>2</v>
      </c>
    </row>
    <row r="18" spans="1:83" ht="15.95" customHeight="1" x14ac:dyDescent="0.25">
      <c r="A18" s="83"/>
      <c r="B18" s="79">
        <f>IF($I18&lt;&gt;"",IF(WEEKDAY($I18,2)&lt;6,IF(VLOOKUP(WEEKDAY($I18,2),InputUge,3)&gt;0,IF($A18="",VLOOKUP(WEEKDAY($I18,2),InputUge,3)+MAX(B$8:B17),IF($A18&lt;VLOOKUP(WEEKDAY($I18,2),InputUge,3),$A18+MAX(B$8:B17),VLOOKUP(WEEKDAY($I18,2),InputUge,3)+MAX(B$8:B17))),""),""),"")</f>
        <v>51.13666666666667</v>
      </c>
      <c r="C18" s="144">
        <f t="shared" si="25"/>
        <v>1</v>
      </c>
      <c r="D18" s="146">
        <f t="shared" si="26"/>
        <v>51</v>
      </c>
      <c r="E18" s="146">
        <f t="shared" si="27"/>
        <v>0.13666666666667027</v>
      </c>
      <c r="F18" s="146">
        <f t="shared" si="28"/>
        <v>8.2000000000002154E-2</v>
      </c>
      <c r="G18" s="261">
        <f t="shared" si="8"/>
        <v>51.082000000000001</v>
      </c>
      <c r="H18" s="4">
        <v>10</v>
      </c>
      <c r="I18" s="16">
        <f t="shared" si="9"/>
        <v>41618</v>
      </c>
      <c r="J18" s="6">
        <v>0.34791666666666665</v>
      </c>
      <c r="K18" s="6">
        <v>0.64236111111111105</v>
      </c>
      <c r="L18" s="5">
        <f>IF(K18&gt;0,ROUND(((K18-J18)*24)-SUM(CI18:CJ18)+CK18,2)+IF(Fredagsfrokost="n",IF(WEEKDAY($I18,2)=5,IF(K18&gt;=0.5,IF(K18&lt;=13/24,0,0),0),0),0),IF(BG18&gt;0,BG18,""))</f>
        <v>7.07</v>
      </c>
      <c r="M18" s="141">
        <f t="shared" si="29"/>
        <v>7</v>
      </c>
      <c r="N18" s="141">
        <f t="shared" si="30"/>
        <v>7.0000000000000284E-2</v>
      </c>
      <c r="O18" s="141">
        <f t="shared" si="31"/>
        <v>4.2000000000000169E-2</v>
      </c>
      <c r="P18" s="141">
        <f t="shared" si="32"/>
        <v>7.0419999999999998</v>
      </c>
      <c r="Q18" s="591"/>
      <c r="R18" s="592"/>
      <c r="S18" s="592"/>
      <c r="T18" s="593"/>
      <c r="U18" s="431"/>
      <c r="V18" s="417"/>
      <c r="W18" s="240">
        <f t="shared" si="10"/>
        <v>0</v>
      </c>
      <c r="X18" s="240">
        <f t="shared" si="11"/>
        <v>0</v>
      </c>
      <c r="Y18" s="240">
        <f t="shared" si="12"/>
        <v>0</v>
      </c>
      <c r="Z18" s="242">
        <f t="shared" si="13"/>
        <v>0</v>
      </c>
      <c r="AA18" s="417"/>
      <c r="AB18" s="417"/>
      <c r="AC18" s="417"/>
      <c r="AD18" s="417"/>
      <c r="AE18" s="417"/>
      <c r="AF18" s="240">
        <f t="shared" si="14"/>
        <v>0</v>
      </c>
      <c r="AG18" s="240">
        <f t="shared" si="15"/>
        <v>0</v>
      </c>
      <c r="AH18" s="240">
        <f t="shared" si="16"/>
        <v>0</v>
      </c>
      <c r="AI18" s="242">
        <f t="shared" si="17"/>
        <v>0</v>
      </c>
      <c r="AJ18" s="417"/>
      <c r="AK18" s="417"/>
      <c r="AL18" s="417"/>
      <c r="AM18" s="417"/>
      <c r="AN18" s="472"/>
      <c r="AO18" s="240">
        <f t="shared" si="4"/>
        <v>0</v>
      </c>
      <c r="AP18" s="240">
        <f t="shared" si="5"/>
        <v>0</v>
      </c>
      <c r="AQ18" s="240">
        <f t="shared" si="6"/>
        <v>0</v>
      </c>
      <c r="AR18" s="242">
        <f t="shared" si="18"/>
        <v>0</v>
      </c>
      <c r="AS18" s="245"/>
      <c r="AT18" s="245"/>
      <c r="AU18" s="245"/>
      <c r="AV18" s="420"/>
      <c r="BH18" s="170"/>
      <c r="BI18" s="189"/>
      <c r="BJ18" s="189"/>
      <c r="BK18" s="189"/>
      <c r="BL18" s="189"/>
      <c r="BM18" s="189"/>
      <c r="BN18" s="189"/>
      <c r="BO18" s="189"/>
      <c r="BP18" s="189"/>
      <c r="BQ18" s="189"/>
      <c r="BR18" s="170"/>
      <c r="BS18" s="144">
        <f>IF($K18&gt;=0,+SUM(L$9:$L18)-$B18+Dec!$BI$41+SUM(AR$9:$AR18)," ")</f>
        <v>-3.3333333333089854E-3</v>
      </c>
      <c r="BT18" s="144">
        <f t="shared" si="19"/>
        <v>-1</v>
      </c>
      <c r="BU18" s="146">
        <f t="shared" si="20"/>
        <v>0</v>
      </c>
      <c r="BV18" s="146"/>
      <c r="BW18" s="146"/>
      <c r="BX18" s="146"/>
      <c r="BY18" s="146"/>
      <c r="BZ18" s="146"/>
      <c r="CA18" s="146">
        <f t="shared" si="21"/>
        <v>-3.3333333333089854E-3</v>
      </c>
      <c r="CB18" s="146">
        <f t="shared" si="22"/>
        <v>-1.9999999999853915E-3</v>
      </c>
      <c r="CC18" s="164">
        <f t="shared" si="23"/>
        <v>-1.9999999999853915E-3</v>
      </c>
      <c r="CD18" s="157">
        <f t="shared" si="24"/>
        <v>7.0419999999999998</v>
      </c>
      <c r="CE18">
        <f t="shared" si="7"/>
        <v>2</v>
      </c>
    </row>
    <row r="19" spans="1:83" ht="15.95" customHeight="1" x14ac:dyDescent="0.25">
      <c r="A19" s="83"/>
      <c r="B19" s="79">
        <f>IF($I19&lt;&gt;"",IF(WEEKDAY($I19,2)&lt;6,IF(VLOOKUP(WEEKDAY($I19,2),InputUge,3)&gt;0,IF($A19="",VLOOKUP(WEEKDAY($I19,2),InputUge,3)+MAX(B$8:B18),IF($A19&lt;VLOOKUP(WEEKDAY($I19,2),InputUge,3),$A19+MAX(B$8:B18),VLOOKUP(WEEKDAY($I19,2),InputUge,3)+MAX(B$8:B18))),""),""),"")</f>
        <v>58.203333333333333</v>
      </c>
      <c r="C19" s="144">
        <f t="shared" si="25"/>
        <v>1</v>
      </c>
      <c r="D19" s="146">
        <f t="shared" si="26"/>
        <v>58</v>
      </c>
      <c r="E19" s="146">
        <f t="shared" si="27"/>
        <v>0.20333333333333314</v>
      </c>
      <c r="F19" s="146">
        <f t="shared" si="28"/>
        <v>0.12199999999999989</v>
      </c>
      <c r="G19" s="261">
        <f t="shared" si="8"/>
        <v>58.122</v>
      </c>
      <c r="H19" s="4">
        <v>11</v>
      </c>
      <c r="I19" s="16">
        <f t="shared" si="9"/>
        <v>41619</v>
      </c>
      <c r="J19" s="6">
        <v>0.34791666666666665</v>
      </c>
      <c r="K19" s="6">
        <v>0.6425925925925926</v>
      </c>
      <c r="L19" s="5">
        <f>IF(K19&gt;0,ROUND(((K19-J19)*24)-SUM(CI19:CJ19)+CK19,2)+IF(Fredagsfrokost="n",IF(WEEKDAY($I19,2)=5,IF(K19&gt;=0.5,IF(K19&lt;=13/24,0,0),0),0),0),IF(BG19&gt;0,BG19,""))</f>
        <v>7.07</v>
      </c>
      <c r="M19" s="141">
        <f t="shared" si="29"/>
        <v>7</v>
      </c>
      <c r="N19" s="141">
        <f t="shared" si="30"/>
        <v>7.0000000000000284E-2</v>
      </c>
      <c r="O19" s="141">
        <f t="shared" si="31"/>
        <v>4.2000000000000169E-2</v>
      </c>
      <c r="P19" s="141">
        <f t="shared" si="32"/>
        <v>7.0419999999999998</v>
      </c>
      <c r="Q19" s="591"/>
      <c r="R19" s="592"/>
      <c r="S19" s="592"/>
      <c r="T19" s="593"/>
      <c r="U19" s="431"/>
      <c r="V19" s="417"/>
      <c r="W19" s="240">
        <f t="shared" si="10"/>
        <v>0</v>
      </c>
      <c r="X19" s="240">
        <f t="shared" si="11"/>
        <v>0</v>
      </c>
      <c r="Y19" s="240">
        <f t="shared" si="12"/>
        <v>0</v>
      </c>
      <c r="Z19" s="242">
        <f t="shared" si="13"/>
        <v>0</v>
      </c>
      <c r="AA19" s="417"/>
      <c r="AB19" s="417"/>
      <c r="AC19" s="417"/>
      <c r="AD19" s="417"/>
      <c r="AE19" s="417"/>
      <c r="AF19" s="240">
        <f t="shared" si="14"/>
        <v>0</v>
      </c>
      <c r="AG19" s="240">
        <f t="shared" si="15"/>
        <v>0</v>
      </c>
      <c r="AH19" s="240">
        <f t="shared" si="16"/>
        <v>0</v>
      </c>
      <c r="AI19" s="242">
        <f t="shared" si="17"/>
        <v>0</v>
      </c>
      <c r="AJ19" s="417"/>
      <c r="AK19" s="417"/>
      <c r="AL19" s="417"/>
      <c r="AM19" s="417"/>
      <c r="AN19" s="472"/>
      <c r="AO19" s="240">
        <f t="shared" si="4"/>
        <v>0</v>
      </c>
      <c r="AP19" s="240">
        <f t="shared" si="5"/>
        <v>0</v>
      </c>
      <c r="AQ19" s="240">
        <f t="shared" si="6"/>
        <v>0</v>
      </c>
      <c r="AR19" s="242">
        <f t="shared" si="18"/>
        <v>0</v>
      </c>
      <c r="AS19" s="245"/>
      <c r="AT19" s="245"/>
      <c r="AU19" s="245"/>
      <c r="AV19" s="420"/>
      <c r="BH19" s="170"/>
      <c r="BI19" s="189"/>
      <c r="BJ19" s="189"/>
      <c r="BK19" s="189"/>
      <c r="BL19" s="189"/>
      <c r="BM19" s="189"/>
      <c r="BN19" s="189"/>
      <c r="BO19" s="189"/>
      <c r="BP19" s="189"/>
      <c r="BQ19" s="189"/>
      <c r="BR19" s="170"/>
      <c r="BS19" s="144">
        <f>IF($K19&gt;=0,+SUM(L$9:$L19)-$B19+Dec!$BI$41+SUM(AR$9:$AR19)," ")</f>
        <v>2.8421709430404007E-14</v>
      </c>
      <c r="BT19" s="144">
        <f t="shared" si="19"/>
        <v>1</v>
      </c>
      <c r="BU19" s="146">
        <f t="shared" si="20"/>
        <v>0</v>
      </c>
      <c r="BV19" s="146"/>
      <c r="BW19" s="146"/>
      <c r="BX19" s="146"/>
      <c r="BY19" s="146"/>
      <c r="BZ19" s="146"/>
      <c r="CA19" s="146">
        <f t="shared" si="21"/>
        <v>2.8421709430404007E-14</v>
      </c>
      <c r="CB19" s="146">
        <f t="shared" si="22"/>
        <v>1.7053025658242404E-14</v>
      </c>
      <c r="CC19" s="164">
        <f t="shared" si="23"/>
        <v>1.7053025658242404E-14</v>
      </c>
      <c r="CD19" s="157">
        <f t="shared" si="24"/>
        <v>7.0419999999999998</v>
      </c>
      <c r="CE19">
        <f t="shared" si="7"/>
        <v>2</v>
      </c>
    </row>
    <row r="20" spans="1:83" ht="15.95" customHeight="1" x14ac:dyDescent="0.25">
      <c r="A20" s="83"/>
      <c r="B20" s="79">
        <f>IF($I20&lt;&gt;"",IF(WEEKDAY($I20,2)&lt;6,IF(VLOOKUP(WEEKDAY($I20,2),InputUge,3)&gt;0,IF($A20="",VLOOKUP(WEEKDAY($I20,2),InputUge,3)+MAX(B$8:B19),IF($A20&lt;VLOOKUP(WEEKDAY($I20,2),InputUge,3),$A20+MAX(B$8:B19),VLOOKUP(WEEKDAY($I20,2),InputUge,3)+MAX(B$8:B19))),""),""),"")</f>
        <v>67.61333333333333</v>
      </c>
      <c r="C20" s="144">
        <f t="shared" si="25"/>
        <v>1</v>
      </c>
      <c r="D20" s="146">
        <f t="shared" si="26"/>
        <v>67</v>
      </c>
      <c r="E20" s="146">
        <f t="shared" si="27"/>
        <v>0.61333333333332973</v>
      </c>
      <c r="F20" s="146">
        <f t="shared" si="28"/>
        <v>0.36799999999999783</v>
      </c>
      <c r="G20" s="261">
        <f t="shared" si="8"/>
        <v>67.367999999999995</v>
      </c>
      <c r="H20" s="4">
        <v>12</v>
      </c>
      <c r="I20" s="16">
        <f t="shared" si="9"/>
        <v>41620</v>
      </c>
      <c r="J20" s="6">
        <v>0.34791666666666665</v>
      </c>
      <c r="K20" s="6">
        <v>0.73987268518518512</v>
      </c>
      <c r="L20" s="5">
        <f>IF(K20&gt;0,ROUND(((K20-J20)*24)-SUM(CI20:CJ20)+CK20,2)+IF(Fredagsfrokost="n",IF(WEEKDAY($I20,2)=5,IF(K20&gt;=0.5,IF(K20&lt;=13/24,0,0),0),0),0),IF(BG20&gt;0,BG20,""))</f>
        <v>9.41</v>
      </c>
      <c r="M20" s="141">
        <f t="shared" si="29"/>
        <v>9</v>
      </c>
      <c r="N20" s="141">
        <f t="shared" si="30"/>
        <v>0.41000000000000014</v>
      </c>
      <c r="O20" s="141">
        <f t="shared" si="31"/>
        <v>0.24600000000000008</v>
      </c>
      <c r="P20" s="141">
        <f t="shared" si="32"/>
        <v>9.2460000000000004</v>
      </c>
      <c r="Q20" s="591"/>
      <c r="R20" s="592"/>
      <c r="S20" s="592"/>
      <c r="T20" s="593"/>
      <c r="U20" s="431"/>
      <c r="V20" s="417"/>
      <c r="W20" s="240">
        <f t="shared" si="10"/>
        <v>0</v>
      </c>
      <c r="X20" s="240">
        <f t="shared" si="11"/>
        <v>0</v>
      </c>
      <c r="Y20" s="240">
        <f t="shared" si="12"/>
        <v>0</v>
      </c>
      <c r="Z20" s="242">
        <f t="shared" si="13"/>
        <v>0</v>
      </c>
      <c r="AA20" s="417"/>
      <c r="AB20" s="417"/>
      <c r="AC20" s="417"/>
      <c r="AD20" s="417"/>
      <c r="AE20" s="417"/>
      <c r="AF20" s="240">
        <f t="shared" si="14"/>
        <v>0</v>
      </c>
      <c r="AG20" s="240">
        <f t="shared" si="15"/>
        <v>0</v>
      </c>
      <c r="AH20" s="240">
        <f t="shared" si="16"/>
        <v>0</v>
      </c>
      <c r="AI20" s="242">
        <f t="shared" si="17"/>
        <v>0</v>
      </c>
      <c r="AJ20" s="417"/>
      <c r="AK20" s="417"/>
      <c r="AL20" s="417"/>
      <c r="AM20" s="417"/>
      <c r="AN20" s="472"/>
      <c r="AO20" s="240">
        <f t="shared" si="4"/>
        <v>0</v>
      </c>
      <c r="AP20" s="240">
        <f t="shared" si="5"/>
        <v>0</v>
      </c>
      <c r="AQ20" s="240">
        <f t="shared" si="6"/>
        <v>0</v>
      </c>
      <c r="AR20" s="242">
        <f t="shared" si="18"/>
        <v>0</v>
      </c>
      <c r="AS20" s="245"/>
      <c r="AT20" s="245"/>
      <c r="AU20" s="245"/>
      <c r="AV20" s="420"/>
      <c r="BH20" s="170"/>
      <c r="BI20" s="189"/>
      <c r="BJ20" s="189"/>
      <c r="BK20" s="189"/>
      <c r="BL20" s="189"/>
      <c r="BM20" s="189"/>
      <c r="BN20" s="189"/>
      <c r="BO20" s="189"/>
      <c r="BP20" s="189"/>
      <c r="BQ20" s="189"/>
      <c r="BR20" s="170"/>
      <c r="BS20" s="144">
        <f>IF($K20&gt;=0,+SUM(L$9:$L20)-$B20+Dec!$BI$41+SUM(AR$9:$AR20)," ")</f>
        <v>2.8421709430404007E-14</v>
      </c>
      <c r="BT20" s="144">
        <f>IF(BS20&lt;0,-1,1)</f>
        <v>1</v>
      </c>
      <c r="BU20" s="146">
        <f>FLOOR(BS20,BT20)</f>
        <v>0</v>
      </c>
      <c r="BV20" s="146"/>
      <c r="BW20" s="146"/>
      <c r="BX20" s="146"/>
      <c r="BY20" s="146"/>
      <c r="BZ20" s="146"/>
      <c r="CA20" s="146">
        <f>+BS20-BU20</f>
        <v>2.8421709430404007E-14</v>
      </c>
      <c r="CB20" s="146">
        <f>+CA20/100*60</f>
        <v>1.7053025658242404E-14</v>
      </c>
      <c r="CC20" s="164">
        <f>IF(CE20=2,+CB20+BU20,"")</f>
        <v>1.7053025658242404E-14</v>
      </c>
      <c r="CD20" s="157">
        <f t="shared" si="24"/>
        <v>9.2460000000000004</v>
      </c>
      <c r="CE20">
        <f t="shared" si="7"/>
        <v>2</v>
      </c>
    </row>
    <row r="21" spans="1:83" ht="15.95" customHeight="1" x14ac:dyDescent="0.25">
      <c r="A21" s="83"/>
      <c r="B21" s="79">
        <f>IF($I21&lt;&gt;"",IF(WEEKDAY($I21,2)&lt;6,IF(VLOOKUP(WEEKDAY($I21,2),InputUge,3)&gt;0,IF($A21="",VLOOKUP(WEEKDAY($I21,2),InputUge,3)+MAX(B$8:B20),IF($A21&lt;VLOOKUP(WEEKDAY($I21,2),InputUge,3),$A21+MAX(B$8:B20),VLOOKUP(WEEKDAY($I21,2),InputUge,3)+MAX(B$8:B20))),""),""),"")</f>
        <v>74.013333333333335</v>
      </c>
      <c r="C21" s="144">
        <f t="shared" si="25"/>
        <v>1</v>
      </c>
      <c r="D21" s="146">
        <f t="shared" si="26"/>
        <v>74</v>
      </c>
      <c r="E21" s="146">
        <f t="shared" si="27"/>
        <v>1.3333333333335418E-2</v>
      </c>
      <c r="F21" s="146">
        <f t="shared" si="28"/>
        <v>8.0000000000012509E-3</v>
      </c>
      <c r="G21" s="261">
        <f t="shared" si="8"/>
        <v>74.007999999999996</v>
      </c>
      <c r="H21" s="4">
        <v>13</v>
      </c>
      <c r="I21" s="16">
        <f t="shared" si="9"/>
        <v>41621</v>
      </c>
      <c r="J21" s="6">
        <v>0.34791666666666665</v>
      </c>
      <c r="K21" s="6">
        <v>0.61458333333333337</v>
      </c>
      <c r="L21" s="5">
        <f>IF(K21&gt;0,ROUND(((K21-J21)*24)-SUM(CI21:CJ21)+CK21,2)+IF(Fredagsfrokost="n",IF(WEEKDAY($I21,2)=5,IF(K21&gt;=0.5,IF(K21&lt;=13/24,0,0),0),0),0),IF(BG21&gt;0,BG21,""))</f>
        <v>6.4</v>
      </c>
      <c r="M21" s="141">
        <f t="shared" si="29"/>
        <v>6</v>
      </c>
      <c r="N21" s="141">
        <f t="shared" si="30"/>
        <v>0.40000000000000036</v>
      </c>
      <c r="O21" s="141">
        <f t="shared" si="31"/>
        <v>0.24000000000000021</v>
      </c>
      <c r="P21" s="141">
        <f t="shared" si="32"/>
        <v>6.24</v>
      </c>
      <c r="Q21" s="591"/>
      <c r="R21" s="592"/>
      <c r="S21" s="592"/>
      <c r="T21" s="593"/>
      <c r="U21" s="431"/>
      <c r="V21" s="417"/>
      <c r="W21" s="240">
        <f t="shared" si="10"/>
        <v>0</v>
      </c>
      <c r="X21" s="240">
        <f t="shared" si="11"/>
        <v>0</v>
      </c>
      <c r="Y21" s="240">
        <f t="shared" si="12"/>
        <v>0</v>
      </c>
      <c r="Z21" s="242">
        <f t="shared" si="13"/>
        <v>0</v>
      </c>
      <c r="AA21" s="417"/>
      <c r="AB21" s="417"/>
      <c r="AC21" s="417"/>
      <c r="AD21" s="417"/>
      <c r="AE21" s="417"/>
      <c r="AF21" s="240">
        <f t="shared" si="14"/>
        <v>0</v>
      </c>
      <c r="AG21" s="240">
        <f t="shared" si="15"/>
        <v>0</v>
      </c>
      <c r="AH21" s="240">
        <f t="shared" si="16"/>
        <v>0</v>
      </c>
      <c r="AI21" s="242">
        <f t="shared" si="17"/>
        <v>0</v>
      </c>
      <c r="AJ21" s="417"/>
      <c r="AK21" s="417"/>
      <c r="AL21" s="417"/>
      <c r="AM21" s="417"/>
      <c r="AN21" s="472"/>
      <c r="AO21" s="240">
        <f t="shared" si="4"/>
        <v>0</v>
      </c>
      <c r="AP21" s="240">
        <f t="shared" si="5"/>
        <v>0</v>
      </c>
      <c r="AQ21" s="240">
        <f t="shared" si="6"/>
        <v>0</v>
      </c>
      <c r="AR21" s="242">
        <f t="shared" si="18"/>
        <v>0</v>
      </c>
      <c r="AS21" s="245"/>
      <c r="AT21" s="245"/>
      <c r="AU21" s="245"/>
      <c r="AV21" s="420"/>
      <c r="BH21" s="170"/>
      <c r="BI21" s="189"/>
      <c r="BJ21" s="189"/>
      <c r="BK21" s="189"/>
      <c r="BL21" s="189"/>
      <c r="BM21" s="189"/>
      <c r="BN21" s="189"/>
      <c r="BO21" s="189"/>
      <c r="BP21" s="189"/>
      <c r="BQ21" s="189"/>
      <c r="BR21" s="170"/>
      <c r="BS21" s="144">
        <f>IF($K21&gt;=0,+SUM(L$9:$L21)-$B21+Dec!$BI$41+SUM(AR$9:$AR21)," ")</f>
        <v>2.8421709430404007E-14</v>
      </c>
      <c r="BT21" s="144">
        <f t="shared" si="19"/>
        <v>1</v>
      </c>
      <c r="BU21" s="146">
        <f t="shared" si="20"/>
        <v>0</v>
      </c>
      <c r="BV21" s="146"/>
      <c r="BW21" s="146"/>
      <c r="BX21" s="146"/>
      <c r="BY21" s="146"/>
      <c r="BZ21" s="146"/>
      <c r="CA21" s="146">
        <f t="shared" si="21"/>
        <v>2.8421709430404007E-14</v>
      </c>
      <c r="CB21" s="146">
        <f t="shared" si="22"/>
        <v>1.7053025658242404E-14</v>
      </c>
      <c r="CC21" s="164">
        <f t="shared" si="23"/>
        <v>1.7053025658242404E-14</v>
      </c>
      <c r="CD21" s="157">
        <f t="shared" si="24"/>
        <v>6.24</v>
      </c>
      <c r="CE21">
        <f t="shared" si="7"/>
        <v>2</v>
      </c>
    </row>
    <row r="22" spans="1:83" ht="15.95" customHeight="1" x14ac:dyDescent="0.25">
      <c r="A22" s="83"/>
      <c r="B22" s="79" t="str">
        <f>IF($I22&lt;&gt;"",IF(WEEKDAY($I22,2)&lt;6,IF(VLOOKUP(WEEKDAY($I22,2),InputUge,3)&gt;0,IF($A22="",VLOOKUP(WEEKDAY($I22,2),InputUge,3)+MAX(B$8:B21),IF($A22&lt;VLOOKUP(WEEKDAY($I22,2),InputUge,3),$A22+MAX(B$8:B21),VLOOKUP(WEEKDAY($I22,2),InputUge,3)+MAX(B$8:B21))),""),""),"")</f>
        <v/>
      </c>
      <c r="C22" s="144">
        <f t="shared" si="25"/>
        <v>1</v>
      </c>
      <c r="D22" s="146" t="e">
        <f t="shared" si="26"/>
        <v>#VALUE!</v>
      </c>
      <c r="E22" s="146" t="e">
        <f t="shared" si="27"/>
        <v>#VALUE!</v>
      </c>
      <c r="F22" s="146" t="e">
        <f t="shared" si="28"/>
        <v>#VALUE!</v>
      </c>
      <c r="G22" s="261"/>
      <c r="H22" s="4">
        <v>14</v>
      </c>
      <c r="I22" s="16">
        <f t="shared" si="9"/>
        <v>41622</v>
      </c>
      <c r="J22" s="6"/>
      <c r="K22" s="6"/>
      <c r="L22" s="5"/>
      <c r="M22" s="141"/>
      <c r="N22" s="141"/>
      <c r="O22" s="141"/>
      <c r="P22" s="141"/>
      <c r="Q22" s="591"/>
      <c r="R22" s="592"/>
      <c r="S22" s="592"/>
      <c r="T22" s="593"/>
      <c r="U22" s="431"/>
      <c r="V22" s="417"/>
      <c r="W22" s="240">
        <f t="shared" si="10"/>
        <v>0</v>
      </c>
      <c r="X22" s="240">
        <f t="shared" si="11"/>
        <v>0</v>
      </c>
      <c r="Y22" s="240">
        <f t="shared" si="12"/>
        <v>0</v>
      </c>
      <c r="Z22" s="242">
        <f t="shared" si="13"/>
        <v>0</v>
      </c>
      <c r="AA22" s="417"/>
      <c r="AB22" s="417"/>
      <c r="AC22" s="417"/>
      <c r="AD22" s="417"/>
      <c r="AE22" s="417"/>
      <c r="AF22" s="240">
        <f t="shared" si="14"/>
        <v>0</v>
      </c>
      <c r="AG22" s="240">
        <f t="shared" si="15"/>
        <v>0</v>
      </c>
      <c r="AH22" s="240">
        <f t="shared" si="16"/>
        <v>0</v>
      </c>
      <c r="AI22" s="242">
        <f t="shared" si="17"/>
        <v>0</v>
      </c>
      <c r="AJ22" s="417"/>
      <c r="AK22" s="417"/>
      <c r="AL22" s="417"/>
      <c r="AM22" s="417"/>
      <c r="AN22" s="472"/>
      <c r="AO22" s="240">
        <f t="shared" si="4"/>
        <v>0</v>
      </c>
      <c r="AP22" s="240">
        <f t="shared" si="5"/>
        <v>0</v>
      </c>
      <c r="AQ22" s="240">
        <f t="shared" si="6"/>
        <v>0</v>
      </c>
      <c r="AR22" s="242">
        <f t="shared" si="18"/>
        <v>0</v>
      </c>
      <c r="AS22" s="245"/>
      <c r="AT22" s="245"/>
      <c r="AU22" s="245"/>
      <c r="AV22" s="420"/>
      <c r="BH22" s="170"/>
      <c r="BI22" s="189"/>
      <c r="BJ22" s="189"/>
      <c r="BK22" s="189"/>
      <c r="BL22" s="189"/>
      <c r="BM22" s="189"/>
      <c r="BN22" s="189"/>
      <c r="BO22" s="189"/>
      <c r="BP22" s="189"/>
      <c r="BQ22" s="189"/>
      <c r="BR22" s="170"/>
      <c r="BS22" s="144" t="e">
        <f>IF($K22&gt;=0,+SUM(L$9:$L22)-$B22+Dec!$BI$41+SUM(AR$9:$AR22)," ")</f>
        <v>#VALUE!</v>
      </c>
      <c r="BT22" s="144" t="e">
        <f t="shared" si="19"/>
        <v>#VALUE!</v>
      </c>
      <c r="BU22" s="146" t="e">
        <f t="shared" si="20"/>
        <v>#VALUE!</v>
      </c>
      <c r="BV22" s="146"/>
      <c r="BW22" s="146"/>
      <c r="BX22" s="146"/>
      <c r="BY22" s="146"/>
      <c r="BZ22" s="146"/>
      <c r="CA22" s="146" t="e">
        <f t="shared" si="21"/>
        <v>#VALUE!</v>
      </c>
      <c r="CB22" s="146" t="e">
        <f t="shared" si="22"/>
        <v>#VALUE!</v>
      </c>
      <c r="CC22" s="164"/>
      <c r="CD22" s="157">
        <f t="shared" si="24"/>
        <v>0</v>
      </c>
      <c r="CE22">
        <f t="shared" si="7"/>
        <v>2</v>
      </c>
    </row>
    <row r="23" spans="1:83" ht="15.95" customHeight="1" x14ac:dyDescent="0.25">
      <c r="A23" s="83"/>
      <c r="B23" s="79" t="str">
        <f>IF($I23&lt;&gt;"",IF(WEEKDAY($I23,2)&lt;6,IF(VLOOKUP(WEEKDAY($I23,2),InputUge,3)&gt;0,IF($A23="",VLOOKUP(WEEKDAY($I23,2),InputUge,3)+MAX(B$8:B22),IF($A23&lt;VLOOKUP(WEEKDAY($I23,2),InputUge,3),$A23+MAX(B$8:B22),VLOOKUP(WEEKDAY($I23,2),InputUge,3)+MAX(B$8:B22))),""),""),"")</f>
        <v/>
      </c>
      <c r="C23" s="144">
        <f t="shared" si="25"/>
        <v>1</v>
      </c>
      <c r="D23" s="146" t="e">
        <f t="shared" si="26"/>
        <v>#VALUE!</v>
      </c>
      <c r="E23" s="146" t="e">
        <f t="shared" si="27"/>
        <v>#VALUE!</v>
      </c>
      <c r="F23" s="146" t="e">
        <f t="shared" si="28"/>
        <v>#VALUE!</v>
      </c>
      <c r="G23" s="261"/>
      <c r="H23" s="4">
        <v>15</v>
      </c>
      <c r="I23" s="16">
        <f t="shared" si="9"/>
        <v>41623</v>
      </c>
      <c r="J23" s="6"/>
      <c r="K23" s="6"/>
      <c r="L23" s="5"/>
      <c r="M23" s="141">
        <f t="shared" ref="M23:M28" si="33">FLOOR(L23,1)</f>
        <v>0</v>
      </c>
      <c r="N23" s="141">
        <f t="shared" ref="N23:N28" si="34">+L23-M23</f>
        <v>0</v>
      </c>
      <c r="O23" s="141">
        <f t="shared" ref="O23:O28" si="35">+N23/100*60</f>
        <v>0</v>
      </c>
      <c r="P23" s="141" t="str">
        <f t="shared" ref="P23:P28" si="36">IF(J23="","",O23+M23)</f>
        <v/>
      </c>
      <c r="Q23" s="591"/>
      <c r="R23" s="592"/>
      <c r="S23" s="592"/>
      <c r="T23" s="593"/>
      <c r="U23" s="431"/>
      <c r="V23" s="417"/>
      <c r="W23" s="240">
        <f t="shared" si="10"/>
        <v>0</v>
      </c>
      <c r="X23" s="240">
        <f t="shared" si="11"/>
        <v>0</v>
      </c>
      <c r="Y23" s="240">
        <f t="shared" si="12"/>
        <v>0</v>
      </c>
      <c r="Z23" s="242">
        <f t="shared" si="13"/>
        <v>0</v>
      </c>
      <c r="AA23" s="417"/>
      <c r="AB23" s="417"/>
      <c r="AC23" s="417"/>
      <c r="AD23" s="417"/>
      <c r="AE23" s="417"/>
      <c r="AF23" s="240">
        <f t="shared" si="14"/>
        <v>0</v>
      </c>
      <c r="AG23" s="240">
        <f t="shared" si="15"/>
        <v>0</v>
      </c>
      <c r="AH23" s="240">
        <f t="shared" si="16"/>
        <v>0</v>
      </c>
      <c r="AI23" s="242">
        <f t="shared" si="17"/>
        <v>0</v>
      </c>
      <c r="AJ23" s="417"/>
      <c r="AK23" s="417"/>
      <c r="AL23" s="417"/>
      <c r="AM23" s="417"/>
      <c r="AN23" s="472"/>
      <c r="AO23" s="240">
        <f t="shared" si="4"/>
        <v>0</v>
      </c>
      <c r="AP23" s="240">
        <f t="shared" si="5"/>
        <v>0</v>
      </c>
      <c r="AQ23" s="240">
        <f t="shared" si="6"/>
        <v>0</v>
      </c>
      <c r="AR23" s="242">
        <f t="shared" si="18"/>
        <v>0</v>
      </c>
      <c r="AS23" s="245"/>
      <c r="AT23" s="245"/>
      <c r="AU23" s="245"/>
      <c r="AV23" s="420"/>
      <c r="BH23" s="170"/>
      <c r="BI23" s="189"/>
      <c r="BJ23" s="189"/>
      <c r="BK23" s="189"/>
      <c r="BL23" s="189"/>
      <c r="BM23" s="189"/>
      <c r="BN23" s="189"/>
      <c r="BO23" s="189"/>
      <c r="BP23" s="189"/>
      <c r="BQ23" s="189"/>
      <c r="BR23" s="170"/>
      <c r="BS23" s="144" t="e">
        <f>IF($K23&gt;=0,+SUM(L$9:$L23)-$B23+Dec!$BI$41+SUM(AR$9:$AR23)," ")</f>
        <v>#VALUE!</v>
      </c>
      <c r="BT23" s="144" t="e">
        <f t="shared" si="19"/>
        <v>#VALUE!</v>
      </c>
      <c r="BU23" s="146" t="e">
        <f t="shared" si="20"/>
        <v>#VALUE!</v>
      </c>
      <c r="BV23" s="146"/>
      <c r="BW23" s="146"/>
      <c r="BX23" s="146"/>
      <c r="BY23" s="146"/>
      <c r="BZ23" s="146"/>
      <c r="CA23" s="146" t="e">
        <f t="shared" si="21"/>
        <v>#VALUE!</v>
      </c>
      <c r="CB23" s="146" t="e">
        <f t="shared" si="22"/>
        <v>#VALUE!</v>
      </c>
      <c r="CC23" s="164" t="str">
        <f t="shared" si="23"/>
        <v/>
      </c>
      <c r="CD23" s="157" t="str">
        <f t="shared" si="24"/>
        <v/>
      </c>
      <c r="CE23">
        <f t="shared" si="7"/>
        <v>1</v>
      </c>
    </row>
    <row r="24" spans="1:83" ht="15.95" customHeight="1" x14ac:dyDescent="0.25">
      <c r="A24" s="83"/>
      <c r="B24" s="79">
        <f>IF($I24&lt;&gt;"",IF(WEEKDAY($I24,2)&lt;6,IF(VLOOKUP(WEEKDAY($I24,2),InputUge,3)&gt;0,IF($A24="",VLOOKUP(WEEKDAY($I24,2),InputUge,3)+MAX(B$8:B23),IF($A24&lt;VLOOKUP(WEEKDAY($I24,2),InputUge,3),$A24+MAX(B$8:B23),VLOOKUP(WEEKDAY($I24,2),InputUge,3)+MAX(B$8:B23))),""),""),"")</f>
        <v>81.076666666666668</v>
      </c>
      <c r="C24" s="144">
        <f t="shared" si="25"/>
        <v>1</v>
      </c>
      <c r="D24" s="146">
        <f t="shared" si="26"/>
        <v>81</v>
      </c>
      <c r="E24" s="146">
        <f t="shared" si="27"/>
        <v>7.6666666666667993E-2</v>
      </c>
      <c r="F24" s="146">
        <f t="shared" si="28"/>
        <v>4.6000000000000797E-2</v>
      </c>
      <c r="G24" s="261">
        <f t="shared" si="8"/>
        <v>81.046000000000006</v>
      </c>
      <c r="H24" s="4">
        <v>16</v>
      </c>
      <c r="I24" s="16">
        <f t="shared" si="9"/>
        <v>41624</v>
      </c>
      <c r="J24" s="6">
        <v>0.34826388888888887</v>
      </c>
      <c r="K24" s="6">
        <v>0.64236111111111105</v>
      </c>
      <c r="L24" s="5">
        <f>IF(K24&gt;0,ROUND(((K24-J24)*24)-SUM(CI24:CJ24)+CK24,2)+IF(Fredagsfrokost="n",IF(WEEKDAY($I24,2)=5,IF(K24&gt;=0.5,IF(K24&lt;=13/24,0,0),0),0),0),IF(BG24&gt;0,BG24,""))</f>
        <v>7.06</v>
      </c>
      <c r="M24" s="141">
        <f t="shared" si="33"/>
        <v>7</v>
      </c>
      <c r="N24" s="141">
        <f t="shared" si="34"/>
        <v>5.9999999999999609E-2</v>
      </c>
      <c r="O24" s="141">
        <f t="shared" si="35"/>
        <v>3.5999999999999761E-2</v>
      </c>
      <c r="P24" s="141">
        <f t="shared" si="36"/>
        <v>7.0359999999999996</v>
      </c>
      <c r="Q24" s="591"/>
      <c r="R24" s="592"/>
      <c r="S24" s="592"/>
      <c r="T24" s="593"/>
      <c r="U24" s="431"/>
      <c r="V24" s="417"/>
      <c r="W24" s="240">
        <f t="shared" si="10"/>
        <v>0</v>
      </c>
      <c r="X24" s="240">
        <f t="shared" si="11"/>
        <v>0</v>
      </c>
      <c r="Y24" s="240">
        <f t="shared" si="12"/>
        <v>0</v>
      </c>
      <c r="Z24" s="242">
        <f t="shared" si="13"/>
        <v>0</v>
      </c>
      <c r="AA24" s="417"/>
      <c r="AB24" s="417"/>
      <c r="AC24" s="417"/>
      <c r="AD24" s="417"/>
      <c r="AE24" s="417"/>
      <c r="AF24" s="240">
        <f t="shared" si="14"/>
        <v>0</v>
      </c>
      <c r="AG24" s="240">
        <f t="shared" si="15"/>
        <v>0</v>
      </c>
      <c r="AH24" s="240">
        <f t="shared" si="16"/>
        <v>0</v>
      </c>
      <c r="AI24" s="242">
        <f t="shared" si="17"/>
        <v>0</v>
      </c>
      <c r="AJ24" s="417"/>
      <c r="AK24" s="417"/>
      <c r="AL24" s="417"/>
      <c r="AM24" s="417"/>
      <c r="AN24" s="472"/>
      <c r="AO24" s="240">
        <f t="shared" si="4"/>
        <v>0</v>
      </c>
      <c r="AP24" s="240">
        <f t="shared" si="5"/>
        <v>0</v>
      </c>
      <c r="AQ24" s="240">
        <f t="shared" si="6"/>
        <v>0</v>
      </c>
      <c r="AR24" s="242">
        <f t="shared" si="18"/>
        <v>0</v>
      </c>
      <c r="AS24" s="245"/>
      <c r="AT24" s="245"/>
      <c r="AU24" s="245"/>
      <c r="AV24" s="420"/>
      <c r="BH24" s="170"/>
      <c r="BI24" s="189"/>
      <c r="BJ24" s="189"/>
      <c r="BK24" s="189"/>
      <c r="BL24" s="189"/>
      <c r="BM24" s="189"/>
      <c r="BN24" s="189"/>
      <c r="BO24" s="189"/>
      <c r="BP24" s="189"/>
      <c r="BQ24" s="189"/>
      <c r="BR24" s="170"/>
      <c r="BS24" s="144">
        <f>IF($K24&gt;=0,+SUM(L$9:$L24)-$B24+Dec!$BI$41+SUM(AR$9:$AR24)," ")</f>
        <v>-3.33333333330188E-3</v>
      </c>
      <c r="BT24" s="144">
        <f t="shared" si="19"/>
        <v>-1</v>
      </c>
      <c r="BU24" s="146">
        <f t="shared" si="20"/>
        <v>0</v>
      </c>
      <c r="BV24" s="146"/>
      <c r="BW24" s="146"/>
      <c r="BX24" s="146"/>
      <c r="BY24" s="146"/>
      <c r="BZ24" s="146"/>
      <c r="CA24" s="146">
        <f t="shared" si="21"/>
        <v>-3.33333333330188E-3</v>
      </c>
      <c r="CB24" s="146">
        <f t="shared" si="22"/>
        <v>-1.999999999981128E-3</v>
      </c>
      <c r="CC24" s="164">
        <f t="shared" si="23"/>
        <v>-1.999999999981128E-3</v>
      </c>
      <c r="CD24" s="157">
        <f t="shared" si="24"/>
        <v>7.0359999999999996</v>
      </c>
      <c r="CE24">
        <f t="shared" si="7"/>
        <v>2</v>
      </c>
    </row>
    <row r="25" spans="1:83" ht="15.95" customHeight="1" x14ac:dyDescent="0.25">
      <c r="A25" s="83"/>
      <c r="B25" s="79">
        <f>IF($I25&lt;&gt;"",IF(WEEKDAY($I25,2)&lt;6,IF(VLOOKUP(WEEKDAY($I25,2),InputUge,3)&gt;0,IF($A25="",VLOOKUP(WEEKDAY($I25,2),InputUge,3)+MAX(B$8:B24),IF($A25&lt;VLOOKUP(WEEKDAY($I25,2),InputUge,3),$A25+MAX(B$8:B24),VLOOKUP(WEEKDAY($I25,2),InputUge,3)+MAX(B$8:B24))),""),""),"")</f>
        <v>88.143333333333331</v>
      </c>
      <c r="C25" s="144">
        <f t="shared" si="25"/>
        <v>1</v>
      </c>
      <c r="D25" s="146">
        <f t="shared" si="26"/>
        <v>88</v>
      </c>
      <c r="E25" s="146">
        <f t="shared" si="27"/>
        <v>0.14333333333333087</v>
      </c>
      <c r="F25" s="146">
        <f t="shared" si="28"/>
        <v>8.5999999999998522E-2</v>
      </c>
      <c r="G25" s="261">
        <f t="shared" si="8"/>
        <v>88.085999999999999</v>
      </c>
      <c r="H25" s="4">
        <v>17</v>
      </c>
      <c r="I25" s="16">
        <f t="shared" si="9"/>
        <v>41625</v>
      </c>
      <c r="J25" s="6">
        <v>0.34791666666666665</v>
      </c>
      <c r="K25" s="6">
        <v>0.64236111111111105</v>
      </c>
      <c r="L25" s="5">
        <f>IF(K25&gt;0,ROUND(((K25-J25)*24)-SUM(CI25:CJ25)+CK25,2)+IF(Fredagsfrokost="n",IF(WEEKDAY($I25,2)=5,IF(K25&gt;=0.5,IF(K25&lt;=13/24,0,0),0),0),0),IF(BG25&gt;0,BG25,""))</f>
        <v>7.07</v>
      </c>
      <c r="M25" s="141">
        <f t="shared" si="33"/>
        <v>7</v>
      </c>
      <c r="N25" s="141">
        <f t="shared" si="34"/>
        <v>7.0000000000000284E-2</v>
      </c>
      <c r="O25" s="141">
        <f t="shared" si="35"/>
        <v>4.2000000000000169E-2</v>
      </c>
      <c r="P25" s="141">
        <f t="shared" si="36"/>
        <v>7.0419999999999998</v>
      </c>
      <c r="Q25" s="591"/>
      <c r="R25" s="592"/>
      <c r="S25" s="592"/>
      <c r="T25" s="593"/>
      <c r="U25" s="431"/>
      <c r="V25" s="417"/>
      <c r="W25" s="240">
        <f t="shared" si="10"/>
        <v>0</v>
      </c>
      <c r="X25" s="240">
        <f t="shared" si="11"/>
        <v>0</v>
      </c>
      <c r="Y25" s="240">
        <f t="shared" si="12"/>
        <v>0</v>
      </c>
      <c r="Z25" s="242">
        <f t="shared" si="13"/>
        <v>0</v>
      </c>
      <c r="AA25" s="417"/>
      <c r="AB25" s="417"/>
      <c r="AC25" s="417"/>
      <c r="AD25" s="417"/>
      <c r="AE25" s="417"/>
      <c r="AF25" s="240">
        <f t="shared" si="14"/>
        <v>0</v>
      </c>
      <c r="AG25" s="240">
        <f t="shared" si="15"/>
        <v>0</v>
      </c>
      <c r="AH25" s="240">
        <f t="shared" si="16"/>
        <v>0</v>
      </c>
      <c r="AI25" s="242">
        <f t="shared" si="17"/>
        <v>0</v>
      </c>
      <c r="AJ25" s="417"/>
      <c r="AK25" s="417"/>
      <c r="AL25" s="417"/>
      <c r="AM25" s="417"/>
      <c r="AN25" s="472"/>
      <c r="AO25" s="240">
        <f t="shared" si="4"/>
        <v>0</v>
      </c>
      <c r="AP25" s="240">
        <f t="shared" si="5"/>
        <v>0</v>
      </c>
      <c r="AQ25" s="240">
        <f t="shared" si="6"/>
        <v>0</v>
      </c>
      <c r="AR25" s="242">
        <f t="shared" si="18"/>
        <v>0</v>
      </c>
      <c r="AS25" s="245"/>
      <c r="AT25" s="245"/>
      <c r="AU25" s="245"/>
      <c r="AV25" s="420"/>
      <c r="BH25" s="170"/>
      <c r="BI25" s="189"/>
      <c r="BJ25" s="189"/>
      <c r="BK25" s="189"/>
      <c r="BL25" s="189"/>
      <c r="BM25" s="189"/>
      <c r="BN25" s="189"/>
      <c r="BO25" s="189"/>
      <c r="BP25" s="189"/>
      <c r="BQ25" s="189"/>
      <c r="BR25" s="170"/>
      <c r="BS25" s="144">
        <f>IF($K25&gt;=0,+SUM(L$9:$L25)-$B25+Dec!$BI$41+SUM(AR$9:$AR25)," ")</f>
        <v>4.2632564145606011E-14</v>
      </c>
      <c r="BT25" s="144">
        <f t="shared" si="19"/>
        <v>1</v>
      </c>
      <c r="BU25" s="146">
        <f t="shared" si="20"/>
        <v>0</v>
      </c>
      <c r="BV25" s="146"/>
      <c r="BW25" s="146"/>
      <c r="BX25" s="146"/>
      <c r="BY25" s="146"/>
      <c r="BZ25" s="146"/>
      <c r="CA25" s="146">
        <f t="shared" si="21"/>
        <v>4.2632564145606011E-14</v>
      </c>
      <c r="CB25" s="146">
        <f t="shared" si="22"/>
        <v>2.5579538487363604E-14</v>
      </c>
      <c r="CC25" s="164">
        <f t="shared" si="23"/>
        <v>2.5579538487363604E-14</v>
      </c>
      <c r="CD25" s="157">
        <f t="shared" si="24"/>
        <v>7.0419999999999998</v>
      </c>
      <c r="CE25">
        <f t="shared" si="7"/>
        <v>2</v>
      </c>
    </row>
    <row r="26" spans="1:83" ht="15.95" customHeight="1" x14ac:dyDescent="0.25">
      <c r="A26" s="83"/>
      <c r="B26" s="79">
        <f>IF($I26&lt;&gt;"",IF(WEEKDAY($I26,2)&lt;6,IF(VLOOKUP(WEEKDAY($I26,2),InputUge,3)&gt;0,IF($A26="",VLOOKUP(WEEKDAY($I26,2),InputUge,3)+MAX(B$8:B25),IF($A26&lt;VLOOKUP(WEEKDAY($I26,2),InputUge,3),$A26+MAX(B$8:B25),VLOOKUP(WEEKDAY($I26,2),InputUge,3)+MAX(B$8:B25))),""),""),"")</f>
        <v>95.21</v>
      </c>
      <c r="C26" s="144">
        <f t="shared" si="25"/>
        <v>1</v>
      </c>
      <c r="D26" s="146">
        <f t="shared" si="26"/>
        <v>95</v>
      </c>
      <c r="E26" s="146">
        <f t="shared" si="27"/>
        <v>0.20999999999999375</v>
      </c>
      <c r="F26" s="146">
        <f t="shared" si="28"/>
        <v>0.12599999999999625</v>
      </c>
      <c r="G26" s="261">
        <f t="shared" si="8"/>
        <v>95.125999999999991</v>
      </c>
      <c r="H26" s="4">
        <v>18</v>
      </c>
      <c r="I26" s="16">
        <f t="shared" si="9"/>
        <v>41626</v>
      </c>
      <c r="J26" s="6">
        <v>0.34791666666666665</v>
      </c>
      <c r="K26" s="6">
        <v>0.64236111111111105</v>
      </c>
      <c r="L26" s="5">
        <f>IF(K26&gt;0,ROUND(((K26-J26)*24)-SUM(CI26:CJ26)+CK26,2)+IF(Fredagsfrokost="n",IF(WEEKDAY($I26,2)=5,IF(K26&gt;=0.5,IF(K26&lt;=13/24,0,0),0),0),0),IF(BG26&gt;0,BG26,""))</f>
        <v>7.07</v>
      </c>
      <c r="M26" s="141">
        <f t="shared" si="33"/>
        <v>7</v>
      </c>
      <c r="N26" s="141">
        <f t="shared" si="34"/>
        <v>7.0000000000000284E-2</v>
      </c>
      <c r="O26" s="141">
        <f t="shared" si="35"/>
        <v>4.2000000000000169E-2</v>
      </c>
      <c r="P26" s="141">
        <f t="shared" si="36"/>
        <v>7.0419999999999998</v>
      </c>
      <c r="Q26" s="591"/>
      <c r="R26" s="592"/>
      <c r="S26" s="592"/>
      <c r="T26" s="593"/>
      <c r="U26" s="431"/>
      <c r="V26" s="417"/>
      <c r="W26" s="240">
        <f t="shared" si="10"/>
        <v>0</v>
      </c>
      <c r="X26" s="240">
        <f t="shared" si="11"/>
        <v>0</v>
      </c>
      <c r="Y26" s="240">
        <f t="shared" si="12"/>
        <v>0</v>
      </c>
      <c r="Z26" s="242">
        <f t="shared" si="13"/>
        <v>0</v>
      </c>
      <c r="AA26" s="417"/>
      <c r="AB26" s="417"/>
      <c r="AC26" s="417"/>
      <c r="AD26" s="417"/>
      <c r="AE26" s="417"/>
      <c r="AF26" s="240">
        <f t="shared" si="14"/>
        <v>0</v>
      </c>
      <c r="AG26" s="240">
        <f t="shared" si="15"/>
        <v>0</v>
      </c>
      <c r="AH26" s="240">
        <f t="shared" si="16"/>
        <v>0</v>
      </c>
      <c r="AI26" s="242">
        <f t="shared" si="17"/>
        <v>0</v>
      </c>
      <c r="AJ26" s="417"/>
      <c r="AK26" s="417"/>
      <c r="AL26" s="417"/>
      <c r="AM26" s="417"/>
      <c r="AN26" s="472"/>
      <c r="AO26" s="240">
        <f t="shared" si="4"/>
        <v>0</v>
      </c>
      <c r="AP26" s="240">
        <f t="shared" si="5"/>
        <v>0</v>
      </c>
      <c r="AQ26" s="240">
        <f t="shared" si="6"/>
        <v>0</v>
      </c>
      <c r="AR26" s="242">
        <f t="shared" si="18"/>
        <v>0</v>
      </c>
      <c r="AS26" s="245"/>
      <c r="AT26" s="245"/>
      <c r="AU26" s="245"/>
      <c r="AV26" s="420"/>
      <c r="BH26" s="170"/>
      <c r="BI26" s="189"/>
      <c r="BJ26" s="189"/>
      <c r="BK26" s="189"/>
      <c r="BL26" s="189"/>
      <c r="BM26" s="189"/>
      <c r="BN26" s="189"/>
      <c r="BO26" s="189"/>
      <c r="BP26" s="189"/>
      <c r="BQ26" s="189"/>
      <c r="BR26" s="170"/>
      <c r="BS26" s="144">
        <f>IF($K26&gt;=0,+SUM(L$9:$L26)-$B26+Dec!$BI$41+SUM(AR$9:$AR26)," ")</f>
        <v>3.3333333333729342E-3</v>
      </c>
      <c r="BT26" s="144">
        <f t="shared" si="19"/>
        <v>1</v>
      </c>
      <c r="BU26" s="146">
        <f t="shared" si="20"/>
        <v>0</v>
      </c>
      <c r="BV26" s="146"/>
      <c r="BW26" s="146"/>
      <c r="BX26" s="146"/>
      <c r="BY26" s="146"/>
      <c r="BZ26" s="146"/>
      <c r="CA26" s="146">
        <f t="shared" si="21"/>
        <v>3.3333333333729342E-3</v>
      </c>
      <c r="CB26" s="146">
        <f t="shared" si="22"/>
        <v>2.0000000000237605E-3</v>
      </c>
      <c r="CC26" s="164">
        <f t="shared" si="23"/>
        <v>2.0000000000237605E-3</v>
      </c>
      <c r="CD26" s="157">
        <f t="shared" si="24"/>
        <v>7.0419999999999998</v>
      </c>
      <c r="CE26">
        <f t="shared" si="7"/>
        <v>2</v>
      </c>
    </row>
    <row r="27" spans="1:83" ht="15.95" customHeight="1" x14ac:dyDescent="0.25">
      <c r="A27" s="83"/>
      <c r="B27" s="79">
        <f>IF($I27&lt;&gt;"",IF(WEEKDAY($I27,2)&lt;6,IF(VLOOKUP(WEEKDAY($I27,2),InputUge,3)&gt;0,IF($A27="",VLOOKUP(WEEKDAY($I27,2),InputUge,3)+MAX(B$8:B26),IF($A27&lt;VLOOKUP(WEEKDAY($I27,2),InputUge,3),$A27+MAX(B$8:B26),VLOOKUP(WEEKDAY($I27,2),InputUge,3)+MAX(B$8:B26))),""),""),"")</f>
        <v>104.61999999999999</v>
      </c>
      <c r="C27" s="144">
        <f t="shared" si="25"/>
        <v>1</v>
      </c>
      <c r="D27" s="146">
        <f t="shared" si="26"/>
        <v>104</v>
      </c>
      <c r="E27" s="146">
        <f t="shared" si="27"/>
        <v>0.61999999999999034</v>
      </c>
      <c r="F27" s="146">
        <f t="shared" si="28"/>
        <v>0.37199999999999422</v>
      </c>
      <c r="G27" s="261">
        <f t="shared" si="8"/>
        <v>104.372</v>
      </c>
      <c r="H27" s="4">
        <v>19</v>
      </c>
      <c r="I27" s="16">
        <f t="shared" si="9"/>
        <v>41627</v>
      </c>
      <c r="J27" s="6">
        <v>0.34791666666666665</v>
      </c>
      <c r="K27" s="6">
        <v>0.7397569444444444</v>
      </c>
      <c r="L27" s="5">
        <f>IF(K27&gt;0,ROUND(((K27-J27)*24)-SUM(CI27:CJ27)+CK27,2)+IF(Fredagsfrokost="n",IF(WEEKDAY($I27,2)=5,IF(K27&gt;=0.5,IF(K27&lt;=13/24,0,0),0),0),0),IF(BG27&gt;0,BG27,""))</f>
        <v>9.4</v>
      </c>
      <c r="M27" s="141">
        <f t="shared" si="33"/>
        <v>9</v>
      </c>
      <c r="N27" s="141">
        <f t="shared" si="34"/>
        <v>0.40000000000000036</v>
      </c>
      <c r="O27" s="141">
        <f t="shared" si="35"/>
        <v>0.24000000000000021</v>
      </c>
      <c r="P27" s="141">
        <f t="shared" si="36"/>
        <v>9.24</v>
      </c>
      <c r="Q27" s="591"/>
      <c r="R27" s="592"/>
      <c r="S27" s="592"/>
      <c r="T27" s="593"/>
      <c r="U27" s="431"/>
      <c r="V27" s="417"/>
      <c r="W27" s="240">
        <f t="shared" si="10"/>
        <v>0</v>
      </c>
      <c r="X27" s="240">
        <f t="shared" si="11"/>
        <v>0</v>
      </c>
      <c r="Y27" s="240">
        <f t="shared" si="12"/>
        <v>0</v>
      </c>
      <c r="Z27" s="242">
        <f t="shared" si="13"/>
        <v>0</v>
      </c>
      <c r="AA27" s="417"/>
      <c r="AB27" s="417"/>
      <c r="AC27" s="417"/>
      <c r="AD27" s="417"/>
      <c r="AE27" s="417"/>
      <c r="AF27" s="240">
        <f t="shared" si="14"/>
        <v>0</v>
      </c>
      <c r="AG27" s="240">
        <f t="shared" si="15"/>
        <v>0</v>
      </c>
      <c r="AH27" s="240">
        <f t="shared" si="16"/>
        <v>0</v>
      </c>
      <c r="AI27" s="242">
        <f t="shared" si="17"/>
        <v>0</v>
      </c>
      <c r="AJ27" s="417"/>
      <c r="AK27" s="417"/>
      <c r="AL27" s="417"/>
      <c r="AM27" s="417"/>
      <c r="AN27" s="472"/>
      <c r="AO27" s="240">
        <f t="shared" si="4"/>
        <v>0</v>
      </c>
      <c r="AP27" s="240">
        <f t="shared" si="5"/>
        <v>0</v>
      </c>
      <c r="AQ27" s="240">
        <f t="shared" si="6"/>
        <v>0</v>
      </c>
      <c r="AR27" s="242">
        <f t="shared" si="18"/>
        <v>0</v>
      </c>
      <c r="AS27" s="245"/>
      <c r="AT27" s="245"/>
      <c r="AU27" s="245"/>
      <c r="AV27" s="420"/>
      <c r="BH27" s="170"/>
      <c r="BI27" s="189"/>
      <c r="BJ27" s="189"/>
      <c r="BK27" s="189"/>
      <c r="BL27" s="189"/>
      <c r="BM27" s="189"/>
      <c r="BN27" s="189"/>
      <c r="BO27" s="189"/>
      <c r="BP27" s="189"/>
      <c r="BQ27" s="189"/>
      <c r="BR27" s="170"/>
      <c r="BS27" s="144">
        <f>IF($K27&gt;=0,+SUM(L$9:$L27)-$B27+Dec!$BI$41+SUM(AR$9:$AR27)," ")</f>
        <v>-6.6666666666179708E-3</v>
      </c>
      <c r="BT27" s="144">
        <f t="shared" si="19"/>
        <v>-1</v>
      </c>
      <c r="BU27" s="146">
        <f>FLOOR(BS27,BT27)</f>
        <v>0</v>
      </c>
      <c r="BV27" s="146"/>
      <c r="BW27" s="146"/>
      <c r="BX27" s="146"/>
      <c r="BY27" s="146"/>
      <c r="BZ27" s="146"/>
      <c r="CA27" s="146">
        <f>+BS27-BU27</f>
        <v>-6.6666666666179708E-3</v>
      </c>
      <c r="CB27" s="146">
        <f t="shared" si="22"/>
        <v>-3.999999999970783E-3</v>
      </c>
      <c r="CC27" s="164">
        <f>IF(CE27=2,+CB27+BU27,"")</f>
        <v>-3.999999999970783E-3</v>
      </c>
      <c r="CD27" s="157">
        <f>+P27</f>
        <v>9.24</v>
      </c>
      <c r="CE27">
        <f t="shared" si="7"/>
        <v>2</v>
      </c>
    </row>
    <row r="28" spans="1:83" ht="15.95" customHeight="1" x14ac:dyDescent="0.25">
      <c r="A28" s="83"/>
      <c r="B28" s="79">
        <f>IF($I28&lt;&gt;"",IF(WEEKDAY($I28,2)&lt;6,IF(VLOOKUP(WEEKDAY($I28,2),InputUge,3)&gt;0,IF($A28="",VLOOKUP(WEEKDAY($I28,2),InputUge,3)+MAX(B$8:B27),IF($A28&lt;VLOOKUP(WEEKDAY($I28,2),InputUge,3),$A28+MAX(B$8:B27),VLOOKUP(WEEKDAY($I28,2),InputUge,3)+MAX(B$8:B27))),""),""),"")</f>
        <v>111.02</v>
      </c>
      <c r="C28" s="144">
        <f t="shared" si="25"/>
        <v>1</v>
      </c>
      <c r="D28" s="146">
        <f t="shared" si="26"/>
        <v>111</v>
      </c>
      <c r="E28" s="146">
        <f t="shared" si="27"/>
        <v>1.9999999999996021E-2</v>
      </c>
      <c r="F28" s="146">
        <f t="shared" si="28"/>
        <v>1.1999999999997613E-2</v>
      </c>
      <c r="G28" s="261">
        <f t="shared" si="8"/>
        <v>111.012</v>
      </c>
      <c r="H28" s="4">
        <v>20</v>
      </c>
      <c r="I28" s="16">
        <f t="shared" si="9"/>
        <v>41628</v>
      </c>
      <c r="J28" s="6">
        <v>0.34791666666666665</v>
      </c>
      <c r="K28" s="6">
        <v>0.61458333333333337</v>
      </c>
      <c r="L28" s="5">
        <f>IF(K28&gt;0,ROUND(((K28-J28)*24)-SUM(CI28:CJ28)+CK28,2)+IF(Fredagsfrokost="n",IF(WEEKDAY($I28,2)=5,IF(K28&gt;=0.5,IF(K28&lt;=13/24,0,0),0),0),0),IF(BG28&gt;0,BG28,""))</f>
        <v>6.4</v>
      </c>
      <c r="M28" s="141">
        <f t="shared" si="33"/>
        <v>6</v>
      </c>
      <c r="N28" s="141">
        <f t="shared" si="34"/>
        <v>0.40000000000000036</v>
      </c>
      <c r="O28" s="141">
        <f t="shared" si="35"/>
        <v>0.24000000000000021</v>
      </c>
      <c r="P28" s="141">
        <f t="shared" si="36"/>
        <v>6.24</v>
      </c>
      <c r="Q28" s="591"/>
      <c r="R28" s="592"/>
      <c r="S28" s="592"/>
      <c r="T28" s="593"/>
      <c r="U28" s="431"/>
      <c r="V28" s="417"/>
      <c r="W28" s="240">
        <f t="shared" si="10"/>
        <v>0</v>
      </c>
      <c r="X28" s="240">
        <f t="shared" si="11"/>
        <v>0</v>
      </c>
      <c r="Y28" s="240">
        <f t="shared" si="12"/>
        <v>0</v>
      </c>
      <c r="Z28" s="242">
        <f t="shared" si="13"/>
        <v>0</v>
      </c>
      <c r="AA28" s="417"/>
      <c r="AB28" s="417"/>
      <c r="AC28" s="417"/>
      <c r="AD28" s="417"/>
      <c r="AE28" s="417"/>
      <c r="AF28" s="240">
        <f t="shared" si="14"/>
        <v>0</v>
      </c>
      <c r="AG28" s="240">
        <f t="shared" si="15"/>
        <v>0</v>
      </c>
      <c r="AH28" s="240">
        <f t="shared" si="16"/>
        <v>0</v>
      </c>
      <c r="AI28" s="242">
        <f t="shared" si="17"/>
        <v>0</v>
      </c>
      <c r="AJ28" s="417"/>
      <c r="AK28" s="417"/>
      <c r="AL28" s="417"/>
      <c r="AM28" s="417"/>
      <c r="AN28" s="472"/>
      <c r="AO28" s="240">
        <f t="shared" si="4"/>
        <v>0</v>
      </c>
      <c r="AP28" s="240">
        <f t="shared" si="5"/>
        <v>0</v>
      </c>
      <c r="AQ28" s="240">
        <f t="shared" si="6"/>
        <v>0</v>
      </c>
      <c r="AR28" s="242">
        <f t="shared" si="18"/>
        <v>0</v>
      </c>
      <c r="AS28" s="245"/>
      <c r="AT28" s="245"/>
      <c r="AU28" s="245"/>
      <c r="AV28" s="420"/>
      <c r="BH28" s="170"/>
      <c r="BI28" s="189"/>
      <c r="BJ28" s="189"/>
      <c r="BK28" s="189"/>
      <c r="BL28" s="189"/>
      <c r="BM28" s="189"/>
      <c r="BN28" s="189"/>
      <c r="BO28" s="189"/>
      <c r="BP28" s="189"/>
      <c r="BQ28" s="189"/>
      <c r="BR28" s="170"/>
      <c r="BS28" s="144">
        <f>IF($K28&gt;=0,+SUM(L$9:$L28)-$B28+Dec!$BI$41+SUM(AR$9:$AR28)," ")</f>
        <v>-6.6666666666179708E-3</v>
      </c>
      <c r="BT28" s="144">
        <f t="shared" si="19"/>
        <v>-1</v>
      </c>
      <c r="BU28" s="146">
        <f t="shared" si="20"/>
        <v>0</v>
      </c>
      <c r="BV28" s="146"/>
      <c r="BW28" s="146"/>
      <c r="BX28" s="146"/>
      <c r="BY28" s="146"/>
      <c r="BZ28" s="146"/>
      <c r="CA28" s="146">
        <f t="shared" si="21"/>
        <v>-6.6666666666179708E-3</v>
      </c>
      <c r="CB28" s="146">
        <f t="shared" si="22"/>
        <v>-3.999999999970783E-3</v>
      </c>
      <c r="CC28" s="164">
        <f t="shared" si="23"/>
        <v>-3.999999999970783E-3</v>
      </c>
      <c r="CD28" s="157">
        <f t="shared" si="24"/>
        <v>6.24</v>
      </c>
      <c r="CE28">
        <f t="shared" si="7"/>
        <v>2</v>
      </c>
    </row>
    <row r="29" spans="1:83" ht="15.95" customHeight="1" x14ac:dyDescent="0.25">
      <c r="A29" s="83"/>
      <c r="B29" s="79" t="str">
        <f>IF($I29&lt;&gt;"",IF(WEEKDAY($I29,2)&lt;6,IF(VLOOKUP(WEEKDAY($I29,2),InputUge,3)&gt;0,IF($A29="",VLOOKUP(WEEKDAY($I29,2),InputUge,3)+MAX(B$8:B28),IF($A29&lt;VLOOKUP(WEEKDAY($I29,2),InputUge,3),$A29+MAX(B$8:B28),VLOOKUP(WEEKDAY($I29,2),InputUge,3)+MAX(B$8:B28))),""),""),"")</f>
        <v/>
      </c>
      <c r="C29" s="144">
        <f t="shared" si="25"/>
        <v>1</v>
      </c>
      <c r="D29" s="146" t="e">
        <f t="shared" si="26"/>
        <v>#VALUE!</v>
      </c>
      <c r="E29" s="146" t="e">
        <f t="shared" si="27"/>
        <v>#VALUE!</v>
      </c>
      <c r="F29" s="146" t="e">
        <f t="shared" si="28"/>
        <v>#VALUE!</v>
      </c>
      <c r="G29" s="261"/>
      <c r="H29" s="4">
        <v>21</v>
      </c>
      <c r="I29" s="16">
        <f t="shared" si="9"/>
        <v>41629</v>
      </c>
      <c r="J29" s="6"/>
      <c r="K29" s="6"/>
      <c r="L29" s="5"/>
      <c r="M29" s="141"/>
      <c r="N29" s="141"/>
      <c r="O29" s="141"/>
      <c r="P29" s="141"/>
      <c r="Q29" s="591"/>
      <c r="R29" s="592"/>
      <c r="S29" s="592"/>
      <c r="T29" s="593"/>
      <c r="U29" s="431"/>
      <c r="V29" s="417"/>
      <c r="W29" s="240">
        <f t="shared" si="10"/>
        <v>0</v>
      </c>
      <c r="X29" s="240">
        <f t="shared" si="11"/>
        <v>0</v>
      </c>
      <c r="Y29" s="240">
        <f t="shared" si="12"/>
        <v>0</v>
      </c>
      <c r="Z29" s="242">
        <f t="shared" si="13"/>
        <v>0</v>
      </c>
      <c r="AA29" s="417"/>
      <c r="AB29" s="417"/>
      <c r="AC29" s="417"/>
      <c r="AD29" s="417"/>
      <c r="AE29" s="417"/>
      <c r="AF29" s="240">
        <f t="shared" si="14"/>
        <v>0</v>
      </c>
      <c r="AG29" s="240">
        <f t="shared" si="15"/>
        <v>0</v>
      </c>
      <c r="AH29" s="240">
        <f t="shared" si="16"/>
        <v>0</v>
      </c>
      <c r="AI29" s="242">
        <f t="shared" si="17"/>
        <v>0</v>
      </c>
      <c r="AJ29" s="417"/>
      <c r="AK29" s="417"/>
      <c r="AL29" s="417"/>
      <c r="AM29" s="417"/>
      <c r="AN29" s="472"/>
      <c r="AO29" s="240">
        <f t="shared" si="4"/>
        <v>0</v>
      </c>
      <c r="AP29" s="240">
        <f t="shared" si="5"/>
        <v>0</v>
      </c>
      <c r="AQ29" s="240">
        <f t="shared" si="6"/>
        <v>0</v>
      </c>
      <c r="AR29" s="242">
        <f t="shared" si="18"/>
        <v>0</v>
      </c>
      <c r="AS29" s="245"/>
      <c r="AT29" s="245"/>
      <c r="AU29" s="245"/>
      <c r="AV29" s="420"/>
      <c r="BH29" s="170"/>
      <c r="BI29" s="189"/>
      <c r="BJ29" s="189"/>
      <c r="BK29" s="189"/>
      <c r="BL29" s="189"/>
      <c r="BM29" s="189"/>
      <c r="BN29" s="189"/>
      <c r="BO29" s="189"/>
      <c r="BP29" s="189"/>
      <c r="BQ29" s="189"/>
      <c r="BR29" s="170"/>
      <c r="BS29" s="144" t="e">
        <f>IF($K29&gt;=0,+SUM(L$9:$L29)-$B29+Dec!$BI$41+SUM(AR$9:$AR29)," ")</f>
        <v>#VALUE!</v>
      </c>
      <c r="BT29" s="144" t="e">
        <f t="shared" si="19"/>
        <v>#VALUE!</v>
      </c>
      <c r="BU29" s="146" t="e">
        <f t="shared" si="20"/>
        <v>#VALUE!</v>
      </c>
      <c r="BV29" s="146"/>
      <c r="BW29" s="146"/>
      <c r="BX29" s="146"/>
      <c r="BY29" s="146"/>
      <c r="BZ29" s="146"/>
      <c r="CA29" s="146" t="e">
        <f t="shared" si="21"/>
        <v>#VALUE!</v>
      </c>
      <c r="CB29" s="146" t="e">
        <f t="shared" si="22"/>
        <v>#VALUE!</v>
      </c>
      <c r="CC29" s="164"/>
      <c r="CD29" s="157">
        <f t="shared" si="24"/>
        <v>0</v>
      </c>
      <c r="CE29">
        <f t="shared" si="7"/>
        <v>2</v>
      </c>
    </row>
    <row r="30" spans="1:83" ht="15.95" customHeight="1" x14ac:dyDescent="0.25">
      <c r="A30" s="83"/>
      <c r="B30" s="79" t="str">
        <f>IF($I30&lt;&gt;"",IF(WEEKDAY($I30,2)&lt;6,IF(VLOOKUP(WEEKDAY($I30,2),InputUge,3)&gt;0,IF($A30="",VLOOKUP(WEEKDAY($I30,2),InputUge,3)+MAX(B$8:B29),IF($A30&lt;VLOOKUP(WEEKDAY($I30,2),InputUge,3),$A30+MAX(B$8:B29),VLOOKUP(WEEKDAY($I30,2),InputUge,3)+MAX(B$8:B29))),""),""),"")</f>
        <v/>
      </c>
      <c r="C30" s="144">
        <f t="shared" si="25"/>
        <v>1</v>
      </c>
      <c r="D30" s="146" t="e">
        <f t="shared" si="26"/>
        <v>#VALUE!</v>
      </c>
      <c r="E30" s="146" t="e">
        <f t="shared" si="27"/>
        <v>#VALUE!</v>
      </c>
      <c r="F30" s="146" t="e">
        <f t="shared" si="28"/>
        <v>#VALUE!</v>
      </c>
      <c r="G30" s="261"/>
      <c r="H30" s="4">
        <v>22</v>
      </c>
      <c r="I30" s="16">
        <f t="shared" si="9"/>
        <v>41630</v>
      </c>
      <c r="J30" s="6"/>
      <c r="K30" s="6"/>
      <c r="L30" s="5"/>
      <c r="M30" s="141">
        <f t="shared" ref="M30:M35" si="37">FLOOR(L30,1)</f>
        <v>0</v>
      </c>
      <c r="N30" s="141">
        <f t="shared" ref="N30:N35" si="38">+L30-M30</f>
        <v>0</v>
      </c>
      <c r="O30" s="141">
        <f t="shared" ref="O30:O35" si="39">+N30/100*60</f>
        <v>0</v>
      </c>
      <c r="P30" s="141" t="str">
        <f t="shared" ref="P30:P38" si="40">IF(J30="","",O30+M30)</f>
        <v/>
      </c>
      <c r="Q30" s="591"/>
      <c r="R30" s="592"/>
      <c r="S30" s="592"/>
      <c r="T30" s="593"/>
      <c r="U30" s="431"/>
      <c r="V30" s="417"/>
      <c r="W30" s="240">
        <f t="shared" si="10"/>
        <v>0</v>
      </c>
      <c r="X30" s="240">
        <f t="shared" si="11"/>
        <v>0</v>
      </c>
      <c r="Y30" s="240">
        <f t="shared" si="12"/>
        <v>0</v>
      </c>
      <c r="Z30" s="242">
        <f t="shared" si="13"/>
        <v>0</v>
      </c>
      <c r="AA30" s="417"/>
      <c r="AB30" s="417"/>
      <c r="AC30" s="417"/>
      <c r="AD30" s="417"/>
      <c r="AE30" s="417"/>
      <c r="AF30" s="240">
        <f t="shared" si="14"/>
        <v>0</v>
      </c>
      <c r="AG30" s="240">
        <f t="shared" si="15"/>
        <v>0</v>
      </c>
      <c r="AH30" s="240">
        <f t="shared" si="16"/>
        <v>0</v>
      </c>
      <c r="AI30" s="242">
        <f t="shared" si="17"/>
        <v>0</v>
      </c>
      <c r="AJ30" s="417"/>
      <c r="AK30" s="417"/>
      <c r="AL30" s="417"/>
      <c r="AM30" s="417"/>
      <c r="AN30" s="472"/>
      <c r="AO30" s="240">
        <f t="shared" si="4"/>
        <v>0</v>
      </c>
      <c r="AP30" s="240">
        <f t="shared" si="5"/>
        <v>0</v>
      </c>
      <c r="AQ30" s="240">
        <f t="shared" si="6"/>
        <v>0</v>
      </c>
      <c r="AR30" s="242">
        <f t="shared" si="18"/>
        <v>0</v>
      </c>
      <c r="AS30" s="245"/>
      <c r="AT30" s="245"/>
      <c r="AU30" s="245"/>
      <c r="AV30" s="420"/>
      <c r="BH30" s="170"/>
      <c r="BI30" s="189"/>
      <c r="BJ30" s="189"/>
      <c r="BK30" s="189"/>
      <c r="BL30" s="189"/>
      <c r="BM30" s="189"/>
      <c r="BN30" s="189"/>
      <c r="BO30" s="189"/>
      <c r="BP30" s="189"/>
      <c r="BQ30" s="189"/>
      <c r="BR30" s="170"/>
      <c r="BS30" s="144" t="e">
        <f>IF($K30&gt;=0,+SUM(L$9:$L30)-$B30+Dec!$BI$41+SUM(AR$9:$AR30)," ")</f>
        <v>#VALUE!</v>
      </c>
      <c r="BT30" s="144" t="e">
        <f t="shared" si="19"/>
        <v>#VALUE!</v>
      </c>
      <c r="BU30" s="146" t="e">
        <f t="shared" si="20"/>
        <v>#VALUE!</v>
      </c>
      <c r="BV30" s="146"/>
      <c r="BW30" s="146"/>
      <c r="BX30" s="146"/>
      <c r="BY30" s="146"/>
      <c r="BZ30" s="146"/>
      <c r="CA30" s="146" t="e">
        <f t="shared" si="21"/>
        <v>#VALUE!</v>
      </c>
      <c r="CB30" s="146" t="e">
        <f t="shared" si="22"/>
        <v>#VALUE!</v>
      </c>
      <c r="CC30" s="164" t="str">
        <f t="shared" si="23"/>
        <v/>
      </c>
      <c r="CD30" s="157" t="str">
        <f t="shared" si="24"/>
        <v/>
      </c>
      <c r="CE30">
        <f t="shared" si="7"/>
        <v>1</v>
      </c>
    </row>
    <row r="31" spans="1:83" ht="15.95" customHeight="1" x14ac:dyDescent="0.25">
      <c r="A31" s="83"/>
      <c r="B31" s="79">
        <f>IF($I31&lt;&gt;"",IF(WEEKDAY($I31,2)&lt;6,IF(VLOOKUP(WEEKDAY($I31,2),InputUge,3)&gt;0,IF($A31="",VLOOKUP(WEEKDAY($I31,2),InputUge,3)+MAX(B$8:B30),IF($A31&lt;VLOOKUP(WEEKDAY($I31,2),InputUge,3),$A31+MAX(B$8:B30),VLOOKUP(WEEKDAY($I31,2),InputUge,3)+MAX(B$8:B30))),""),""),"")</f>
        <v>118.08333333333333</v>
      </c>
      <c r="C31" s="144">
        <f t="shared" si="25"/>
        <v>1</v>
      </c>
      <c r="D31" s="146">
        <f t="shared" si="26"/>
        <v>118</v>
      </c>
      <c r="E31" s="146">
        <f t="shared" si="27"/>
        <v>8.3333333333328596E-2</v>
      </c>
      <c r="F31" s="146">
        <f t="shared" si="28"/>
        <v>4.9999999999997158E-2</v>
      </c>
      <c r="G31" s="261">
        <f t="shared" si="8"/>
        <v>118.05</v>
      </c>
      <c r="H31" s="4">
        <v>23</v>
      </c>
      <c r="I31" s="16">
        <f t="shared" si="9"/>
        <v>41631</v>
      </c>
      <c r="J31" s="6">
        <v>0.34826388888888887</v>
      </c>
      <c r="K31" s="6">
        <v>0.64265046296296291</v>
      </c>
      <c r="L31" s="5">
        <f>IF(K31&gt;0,ROUND(((K31-J31)*24)-SUM(CI31:CJ31)+CK31,2)+IF(Fredagsfrokost="n",IF(WEEKDAY($I31,2)=5,IF(K31&gt;=0.5,IF(K31&lt;=13/24,0,0),0),0),0),IF(BG31&gt;0,BG31,""))</f>
        <v>7.07</v>
      </c>
      <c r="M31" s="141">
        <f t="shared" si="37"/>
        <v>7</v>
      </c>
      <c r="N31" s="141">
        <f t="shared" si="38"/>
        <v>7.0000000000000284E-2</v>
      </c>
      <c r="O31" s="141">
        <f t="shared" si="39"/>
        <v>4.2000000000000169E-2</v>
      </c>
      <c r="P31" s="141">
        <f t="shared" si="40"/>
        <v>7.0419999999999998</v>
      </c>
      <c r="Q31" s="591"/>
      <c r="R31" s="592"/>
      <c r="S31" s="592"/>
      <c r="T31" s="593"/>
      <c r="U31" s="431"/>
      <c r="V31" s="417"/>
      <c r="W31" s="240">
        <f t="shared" si="10"/>
        <v>0</v>
      </c>
      <c r="X31" s="240">
        <f t="shared" si="11"/>
        <v>0</v>
      </c>
      <c r="Y31" s="240">
        <f t="shared" si="12"/>
        <v>0</v>
      </c>
      <c r="Z31" s="242">
        <f t="shared" si="13"/>
        <v>0</v>
      </c>
      <c r="AA31" s="417"/>
      <c r="AB31" s="417"/>
      <c r="AC31" s="417"/>
      <c r="AD31" s="417"/>
      <c r="AE31" s="417"/>
      <c r="AF31" s="240">
        <f t="shared" si="14"/>
        <v>0</v>
      </c>
      <c r="AG31" s="240">
        <f t="shared" si="15"/>
        <v>0</v>
      </c>
      <c r="AH31" s="240">
        <f t="shared" si="16"/>
        <v>0</v>
      </c>
      <c r="AI31" s="242">
        <f t="shared" si="17"/>
        <v>0</v>
      </c>
      <c r="AJ31" s="417"/>
      <c r="AK31" s="417"/>
      <c r="AL31" s="417"/>
      <c r="AM31" s="417"/>
      <c r="AN31" s="472"/>
      <c r="AO31" s="240">
        <f t="shared" si="4"/>
        <v>0</v>
      </c>
      <c r="AP31" s="240">
        <f t="shared" si="5"/>
        <v>0</v>
      </c>
      <c r="AQ31" s="240">
        <f t="shared" si="6"/>
        <v>0</v>
      </c>
      <c r="AR31" s="242">
        <f t="shared" si="18"/>
        <v>0</v>
      </c>
      <c r="AS31" s="245"/>
      <c r="AT31" s="245"/>
      <c r="AU31" s="245"/>
      <c r="AV31" s="420"/>
      <c r="BH31" s="170"/>
      <c r="BI31" s="189"/>
      <c r="BJ31" s="189"/>
      <c r="BK31" s="189"/>
      <c r="BL31" s="189"/>
      <c r="BM31" s="189"/>
      <c r="BN31" s="189"/>
      <c r="BO31" s="189"/>
      <c r="BP31" s="189"/>
      <c r="BQ31" s="189"/>
      <c r="BR31" s="170"/>
      <c r="BS31" s="144">
        <f>IF($K31&gt;=0,+SUM(L$9:$L31)-$B31+Dec!$BI$41+SUM(AR$9:$AR31)," ")</f>
        <v>4.2632564145606011E-14</v>
      </c>
      <c r="BT31" s="144">
        <f t="shared" si="19"/>
        <v>1</v>
      </c>
      <c r="BU31" s="146">
        <f t="shared" si="20"/>
        <v>0</v>
      </c>
      <c r="BV31" s="146"/>
      <c r="BW31" s="146"/>
      <c r="BX31" s="146"/>
      <c r="BY31" s="146"/>
      <c r="BZ31" s="146"/>
      <c r="CA31" s="146">
        <f t="shared" si="21"/>
        <v>4.2632564145606011E-14</v>
      </c>
      <c r="CB31" s="146">
        <f t="shared" si="22"/>
        <v>2.5579538487363604E-14</v>
      </c>
      <c r="CC31" s="164">
        <f t="shared" si="23"/>
        <v>2.5579538487363604E-14</v>
      </c>
      <c r="CD31" s="157">
        <f t="shared" si="24"/>
        <v>7.0419999999999998</v>
      </c>
      <c r="CE31">
        <f t="shared" si="7"/>
        <v>2</v>
      </c>
    </row>
    <row r="32" spans="1:83" s="129" customFormat="1" ht="15.95" customHeight="1" x14ac:dyDescent="0.25">
      <c r="A32" s="125" t="s">
        <v>65</v>
      </c>
      <c r="B32" s="79">
        <f>IF($I32&lt;&gt;"",IF(WEEKDAY($I32,2)&lt;6,IF(VLOOKUP(WEEKDAY($I32,2),InputUge,3)&gt;0,IF($A32="",VLOOKUP(WEEKDAY($I32,2),InputUge,3)+MAX(B$8:B31),IF($A32&lt;VLOOKUP(WEEKDAY($I32,2),InputUge,3),$A32+MAX(B$8:B31),VLOOKUP(WEEKDAY($I32,2),InputUge,3)+MAX(B$8:B31))),""),""),"")</f>
        <v>125.14999999999999</v>
      </c>
      <c r="C32" s="144">
        <f t="shared" si="25"/>
        <v>1</v>
      </c>
      <c r="D32" s="146">
        <f t="shared" si="26"/>
        <v>125</v>
      </c>
      <c r="E32" s="146">
        <f t="shared" si="27"/>
        <v>0.14999999999999147</v>
      </c>
      <c r="F32" s="146">
        <f t="shared" si="28"/>
        <v>8.999999999999489E-2</v>
      </c>
      <c r="G32" s="261">
        <f t="shared" si="8"/>
        <v>125.08999999999999</v>
      </c>
      <c r="H32" s="126">
        <v>24</v>
      </c>
      <c r="I32" s="127">
        <f t="shared" si="9"/>
        <v>41632</v>
      </c>
      <c r="J32" s="489">
        <v>0.34826388888888887</v>
      </c>
      <c r="K32" s="489">
        <v>0.64265046296296291</v>
      </c>
      <c r="L32" s="490">
        <f>IF(K32&gt;0,ROUND(((K32-J32)*24)-SUM(CI32:CJ32)+CK32,2)+IF(Fredagsfrokost="n",IF(WEEKDAY($I32,2)=5,IF(K32&gt;=0.5,IF(K32&lt;=13/24,0,0),0),0),0),IF(BG32&gt;0,BG32,""))</f>
        <v>7.07</v>
      </c>
      <c r="M32" s="491">
        <f t="shared" si="37"/>
        <v>7</v>
      </c>
      <c r="N32" s="491">
        <f t="shared" si="38"/>
        <v>7.0000000000000284E-2</v>
      </c>
      <c r="O32" s="491">
        <f t="shared" si="39"/>
        <v>4.2000000000000169E-2</v>
      </c>
      <c r="P32" s="491">
        <f>IF(J32="","",O32+M32)</f>
        <v>7.0419999999999998</v>
      </c>
      <c r="Q32" s="591"/>
      <c r="R32" s="592"/>
      <c r="S32" s="592"/>
      <c r="T32" s="593"/>
      <c r="U32" s="431"/>
      <c r="V32" s="417"/>
      <c r="W32" s="240">
        <f t="shared" si="10"/>
        <v>0</v>
      </c>
      <c r="X32" s="240">
        <f t="shared" si="11"/>
        <v>0</v>
      </c>
      <c r="Y32" s="240">
        <f t="shared" si="12"/>
        <v>0</v>
      </c>
      <c r="Z32" s="242">
        <f t="shared" si="13"/>
        <v>0</v>
      </c>
      <c r="AA32" s="417"/>
      <c r="AB32" s="417"/>
      <c r="AC32" s="417"/>
      <c r="AD32" s="417"/>
      <c r="AE32" s="417"/>
      <c r="AF32" s="240">
        <f t="shared" si="14"/>
        <v>0</v>
      </c>
      <c r="AG32" s="240">
        <f t="shared" si="15"/>
        <v>0</v>
      </c>
      <c r="AH32" s="240">
        <f t="shared" si="16"/>
        <v>0</v>
      </c>
      <c r="AI32" s="242">
        <f t="shared" si="17"/>
        <v>0</v>
      </c>
      <c r="AJ32" s="417"/>
      <c r="AK32" s="417"/>
      <c r="AL32" s="417"/>
      <c r="AM32" s="417"/>
      <c r="AN32" s="472"/>
      <c r="AO32" s="240">
        <f t="shared" si="4"/>
        <v>0</v>
      </c>
      <c r="AP32" s="240">
        <f t="shared" si="5"/>
        <v>0</v>
      </c>
      <c r="AQ32" s="240">
        <f t="shared" si="6"/>
        <v>0</v>
      </c>
      <c r="AR32" s="242">
        <f t="shared" si="18"/>
        <v>0</v>
      </c>
      <c r="AS32" s="245"/>
      <c r="AT32" s="245"/>
      <c r="AU32" s="245"/>
      <c r="AV32" s="420"/>
      <c r="BH32" s="484"/>
      <c r="BI32" s="188"/>
      <c r="BJ32" s="188"/>
      <c r="BK32" s="188"/>
      <c r="BL32" s="188"/>
      <c r="BM32" s="188"/>
      <c r="BN32" s="188"/>
      <c r="BO32" s="188"/>
      <c r="BP32" s="188"/>
      <c r="BQ32" s="188"/>
      <c r="BR32" s="170"/>
      <c r="BS32" s="144">
        <f>IF($K32&gt;=0,+SUM(L$9:$L32)-$B32+Dec!$BI$41+SUM(AR$9:$AR32)," ")</f>
        <v>3.3333333333729342E-3</v>
      </c>
      <c r="BT32" s="144">
        <f t="shared" si="19"/>
        <v>1</v>
      </c>
      <c r="BU32" s="146">
        <f>FLOOR(BS32,BT32)</f>
        <v>0</v>
      </c>
      <c r="BV32" s="146"/>
      <c r="BW32" s="146"/>
      <c r="BX32" s="146"/>
      <c r="BY32" s="146"/>
      <c r="BZ32" s="146"/>
      <c r="CA32" s="146">
        <f>+BS32-BU32</f>
        <v>3.3333333333729342E-3</v>
      </c>
      <c r="CB32" s="146">
        <f t="shared" si="22"/>
        <v>2.0000000000237605E-3</v>
      </c>
      <c r="CC32" s="164">
        <f t="shared" si="23"/>
        <v>2.0000000000237605E-3</v>
      </c>
      <c r="CD32" s="157">
        <f>+P32</f>
        <v>7.0419999999999998</v>
      </c>
      <c r="CE32">
        <f t="shared" si="7"/>
        <v>2</v>
      </c>
    </row>
    <row r="33" spans="1:84" s="129" customFormat="1" ht="15.95" customHeight="1" x14ac:dyDescent="0.25">
      <c r="A33" s="125" t="s">
        <v>66</v>
      </c>
      <c r="B33" s="79">
        <f>IF($I33&lt;&gt;"",IF(WEEKDAY($I33,2)&lt;6,IF(VLOOKUP(WEEKDAY($I33,2),InputUge,3)&gt;0,IF($A33="",VLOOKUP(WEEKDAY($I33,2),InputUge,3)+MAX(B$8:B32),IF($A33&lt;VLOOKUP(WEEKDAY($I33,2),InputUge,3),$A33+MAX(B$8:B32),VLOOKUP(WEEKDAY($I33,2),InputUge,3)+MAX(B$8:B32))),""),""),"")</f>
        <v>132.21666666666667</v>
      </c>
      <c r="C33" s="144">
        <f t="shared" si="25"/>
        <v>1</v>
      </c>
      <c r="D33" s="146">
        <f t="shared" ref="D33:D38" si="41">FLOOR(B33,C33)</f>
        <v>132</v>
      </c>
      <c r="E33" s="146">
        <f t="shared" ref="E33:E38" si="42">+B33-D33</f>
        <v>0.21666666666666856</v>
      </c>
      <c r="F33" s="146">
        <f t="shared" si="28"/>
        <v>0.13000000000000114</v>
      </c>
      <c r="G33" s="261">
        <f t="shared" si="8"/>
        <v>132.13</v>
      </c>
      <c r="H33" s="126">
        <v>25</v>
      </c>
      <c r="I33" s="127">
        <f t="shared" si="9"/>
        <v>41633</v>
      </c>
      <c r="J33" s="489">
        <v>0.34826388888888887</v>
      </c>
      <c r="K33" s="489">
        <v>0.64265046296296291</v>
      </c>
      <c r="L33" s="490">
        <f>IF(K33&gt;0,ROUND(((K33-J33)*24)-SUM(CI33:CJ33)+CK33,2)+IF(Fredagsfrokost="n",IF(WEEKDAY($I33,2)=5,IF(K33&gt;=0.5,IF(K33&lt;=13/24,0,0),0),0),0),IF(BG33&gt;0,BG33,""))</f>
        <v>7.07</v>
      </c>
      <c r="M33" s="491">
        <f t="shared" si="37"/>
        <v>7</v>
      </c>
      <c r="N33" s="491">
        <f t="shared" si="38"/>
        <v>7.0000000000000284E-2</v>
      </c>
      <c r="O33" s="491">
        <f t="shared" si="39"/>
        <v>4.2000000000000169E-2</v>
      </c>
      <c r="P33" s="491">
        <f>IF(J33="","",O33+M33)</f>
        <v>7.0419999999999998</v>
      </c>
      <c r="Q33" s="591"/>
      <c r="R33" s="592"/>
      <c r="S33" s="592"/>
      <c r="T33" s="593"/>
      <c r="U33" s="431"/>
      <c r="V33" s="417"/>
      <c r="W33" s="240">
        <f t="shared" si="10"/>
        <v>0</v>
      </c>
      <c r="X33" s="240">
        <f t="shared" si="11"/>
        <v>0</v>
      </c>
      <c r="Y33" s="240">
        <f t="shared" si="12"/>
        <v>0</v>
      </c>
      <c r="Z33" s="242">
        <f t="shared" si="13"/>
        <v>0</v>
      </c>
      <c r="AA33" s="417"/>
      <c r="AB33" s="417"/>
      <c r="AC33" s="417"/>
      <c r="AD33" s="417"/>
      <c r="AE33" s="417"/>
      <c r="AF33" s="240">
        <f t="shared" si="14"/>
        <v>0</v>
      </c>
      <c r="AG33" s="240">
        <f t="shared" si="15"/>
        <v>0</v>
      </c>
      <c r="AH33" s="240">
        <f t="shared" si="16"/>
        <v>0</v>
      </c>
      <c r="AI33" s="242">
        <f t="shared" si="17"/>
        <v>0</v>
      </c>
      <c r="AJ33" s="417"/>
      <c r="AK33" s="417"/>
      <c r="AL33" s="417"/>
      <c r="AM33" s="417"/>
      <c r="AN33" s="472"/>
      <c r="AO33" s="240">
        <f t="shared" si="4"/>
        <v>0</v>
      </c>
      <c r="AP33" s="240">
        <f t="shared" si="5"/>
        <v>0</v>
      </c>
      <c r="AQ33" s="240">
        <f t="shared" si="6"/>
        <v>0</v>
      </c>
      <c r="AR33" s="242">
        <f t="shared" si="18"/>
        <v>0</v>
      </c>
      <c r="AS33" s="245"/>
      <c r="AT33" s="245"/>
      <c r="AU33" s="245"/>
      <c r="AV33" s="420"/>
      <c r="BH33" s="484"/>
      <c r="BI33" s="188"/>
      <c r="BJ33" s="188"/>
      <c r="BK33" s="188"/>
      <c r="BL33" s="188"/>
      <c r="BM33" s="188"/>
      <c r="BN33" s="188"/>
      <c r="BO33" s="188"/>
      <c r="BP33" s="188"/>
      <c r="BQ33" s="188"/>
      <c r="BR33" s="170"/>
      <c r="BS33" s="144">
        <f>IF($K33&gt;=0,+SUM(L$9:$L33)-$B33+Dec!$BI$41+SUM(AR$9:$AR33)," ")</f>
        <v>6.6666666666890251E-3</v>
      </c>
      <c r="BT33" s="144">
        <f t="shared" si="19"/>
        <v>1</v>
      </c>
      <c r="BU33" s="146">
        <f t="shared" si="20"/>
        <v>0</v>
      </c>
      <c r="BV33" s="146"/>
      <c r="BW33" s="146"/>
      <c r="BX33" s="146"/>
      <c r="BY33" s="146"/>
      <c r="BZ33" s="146"/>
      <c r="CA33" s="146">
        <f t="shared" si="21"/>
        <v>6.6666666666890251E-3</v>
      </c>
      <c r="CB33" s="146">
        <f t="shared" si="22"/>
        <v>4.0000000000134147E-3</v>
      </c>
      <c r="CC33" s="164">
        <f t="shared" si="23"/>
        <v>4.0000000000134147E-3</v>
      </c>
      <c r="CD33" s="157">
        <f t="shared" si="24"/>
        <v>7.0419999999999998</v>
      </c>
      <c r="CE33">
        <f t="shared" si="7"/>
        <v>2</v>
      </c>
    </row>
    <row r="34" spans="1:84" ht="15.95" customHeight="1" x14ac:dyDescent="0.25">
      <c r="A34" s="125" t="s">
        <v>104</v>
      </c>
      <c r="B34" s="79">
        <f>IF($I34&lt;&gt;"",IF(WEEKDAY($I34,2)&lt;6,IF(VLOOKUP(WEEKDAY($I34,2),InputUge,3)&gt;0,IF($A34="",VLOOKUP(WEEKDAY($I34,2),InputUge,3)+MAX(B$8:B33),IF($A34&lt;VLOOKUP(WEEKDAY($I34,2),InputUge,3),$A34+MAX(B$8:B33),VLOOKUP(WEEKDAY($I34,2),InputUge,3)+MAX(B$8:B33))),""),""),"")</f>
        <v>141.62666666666667</v>
      </c>
      <c r="C34" s="144">
        <f t="shared" si="25"/>
        <v>1</v>
      </c>
      <c r="D34" s="146">
        <f t="shared" si="41"/>
        <v>141</v>
      </c>
      <c r="E34" s="146">
        <f t="shared" si="42"/>
        <v>0.62666666666666515</v>
      </c>
      <c r="F34" s="146">
        <f t="shared" si="28"/>
        <v>0.37599999999999906</v>
      </c>
      <c r="G34" s="261">
        <f t="shared" si="8"/>
        <v>141.376</v>
      </c>
      <c r="H34" s="285">
        <v>26</v>
      </c>
      <c r="I34" s="379">
        <f t="shared" si="9"/>
        <v>41634</v>
      </c>
      <c r="J34" s="489">
        <v>0.34791666666666665</v>
      </c>
      <c r="K34" s="489">
        <v>0.73958333333333337</v>
      </c>
      <c r="L34" s="490">
        <f>IF(K34&gt;0,ROUND(((K34-J34)*24)-SUM(CI34:CJ34)+CK34,2)+IF(Fredagsfrokost="n",IF(WEEKDAY($I34,2)=5,IF(K34&gt;=0.5,IF(K34&lt;=13/24,0,0),0),0),0),IF(BG34&gt;0,BG34,""))</f>
        <v>9.4</v>
      </c>
      <c r="M34" s="491">
        <f t="shared" si="37"/>
        <v>9</v>
      </c>
      <c r="N34" s="491">
        <f t="shared" si="38"/>
        <v>0.40000000000000036</v>
      </c>
      <c r="O34" s="491">
        <f t="shared" si="39"/>
        <v>0.24000000000000021</v>
      </c>
      <c r="P34" s="491">
        <f>IF(J34="","",O34+M34)</f>
        <v>9.24</v>
      </c>
      <c r="Q34" s="591"/>
      <c r="R34" s="592"/>
      <c r="S34" s="592"/>
      <c r="T34" s="593"/>
      <c r="U34" s="431"/>
      <c r="V34" s="417"/>
      <c r="W34" s="240">
        <f t="shared" si="10"/>
        <v>0</v>
      </c>
      <c r="X34" s="240">
        <f t="shared" si="11"/>
        <v>0</v>
      </c>
      <c r="Y34" s="240">
        <f t="shared" si="12"/>
        <v>0</v>
      </c>
      <c r="Z34" s="242">
        <f t="shared" si="13"/>
        <v>0</v>
      </c>
      <c r="AA34" s="417"/>
      <c r="AB34" s="417"/>
      <c r="AC34" s="417"/>
      <c r="AD34" s="417"/>
      <c r="AE34" s="417"/>
      <c r="AF34" s="240">
        <f t="shared" si="14"/>
        <v>0</v>
      </c>
      <c r="AG34" s="240">
        <f t="shared" si="15"/>
        <v>0</v>
      </c>
      <c r="AH34" s="240">
        <f t="shared" si="16"/>
        <v>0</v>
      </c>
      <c r="AI34" s="242">
        <f t="shared" si="17"/>
        <v>0</v>
      </c>
      <c r="AJ34" s="417"/>
      <c r="AK34" s="417"/>
      <c r="AL34" s="417"/>
      <c r="AM34" s="417"/>
      <c r="AN34" s="472"/>
      <c r="AO34" s="240">
        <f t="shared" si="4"/>
        <v>0</v>
      </c>
      <c r="AP34" s="240">
        <f t="shared" si="5"/>
        <v>0</v>
      </c>
      <c r="AQ34" s="240">
        <f t="shared" si="6"/>
        <v>0</v>
      </c>
      <c r="AR34" s="242">
        <f t="shared" si="18"/>
        <v>0</v>
      </c>
      <c r="AS34" s="245"/>
      <c r="AT34" s="245"/>
      <c r="AU34" s="245"/>
      <c r="AV34" s="420"/>
      <c r="BH34" s="170"/>
      <c r="BI34" s="189"/>
      <c r="BJ34" s="189"/>
      <c r="BK34" s="189"/>
      <c r="BL34" s="189"/>
      <c r="BM34" s="189"/>
      <c r="BN34" s="189"/>
      <c r="BO34" s="189"/>
      <c r="BP34" s="189"/>
      <c r="BQ34" s="189"/>
      <c r="BR34" s="170"/>
      <c r="BS34" s="144">
        <f>IF($K34&gt;=0,+SUM(L$9:$L34)-$B34+Dec!$BI$41+SUM(AR$9:$AR34)," ")</f>
        <v>-3.33333333330188E-3</v>
      </c>
      <c r="BT34" s="144">
        <f t="shared" si="19"/>
        <v>-1</v>
      </c>
      <c r="BU34" s="146">
        <f t="shared" si="20"/>
        <v>0</v>
      </c>
      <c r="BV34" s="146"/>
      <c r="BW34" s="146"/>
      <c r="BX34" s="146"/>
      <c r="BY34" s="146"/>
      <c r="BZ34" s="146"/>
      <c r="CA34" s="146">
        <f t="shared" si="21"/>
        <v>-3.33333333330188E-3</v>
      </c>
      <c r="CB34" s="146">
        <f t="shared" si="22"/>
        <v>-1.999999999981128E-3</v>
      </c>
      <c r="CC34" s="164">
        <f t="shared" si="23"/>
        <v>-1.999999999981128E-3</v>
      </c>
      <c r="CD34" s="157">
        <f t="shared" si="24"/>
        <v>9.24</v>
      </c>
      <c r="CE34">
        <f t="shared" si="7"/>
        <v>2</v>
      </c>
    </row>
    <row r="35" spans="1:84" ht="15.95" customHeight="1" x14ac:dyDescent="0.25">
      <c r="A35" s="125" t="s">
        <v>63</v>
      </c>
      <c r="B35" s="79">
        <f>IF($I35&lt;&gt;"",IF(WEEKDAY($I35,2)&lt;6,IF(VLOOKUP(WEEKDAY($I35,2),InputUge,3)&gt;0,IF($A35="",VLOOKUP(WEEKDAY($I35,2),InputUge,3)+MAX(B$8:B34),IF($A35&lt;VLOOKUP(WEEKDAY($I35,2),InputUge,3),$A35+MAX(B$8:B34),VLOOKUP(WEEKDAY($I35,2),InputUge,3)+MAX(B$8:B34))),""),""),"")</f>
        <v>148.02666666666667</v>
      </c>
      <c r="C35" s="144">
        <f>IF(B35&lt;0,-1,1)</f>
        <v>1</v>
      </c>
      <c r="D35" s="146">
        <f t="shared" si="41"/>
        <v>148</v>
      </c>
      <c r="E35" s="146">
        <f t="shared" si="42"/>
        <v>2.6666666666670835E-2</v>
      </c>
      <c r="F35" s="146">
        <f>+E35/100*60</f>
        <v>1.6000000000002502E-2</v>
      </c>
      <c r="G35" s="261">
        <f t="shared" si="8"/>
        <v>148.01599999999999</v>
      </c>
      <c r="H35" s="4">
        <v>27</v>
      </c>
      <c r="I35" s="16">
        <f t="shared" si="9"/>
        <v>41635</v>
      </c>
      <c r="J35" s="6">
        <v>0.34791666666666665</v>
      </c>
      <c r="K35" s="6">
        <v>0.61458333333333337</v>
      </c>
      <c r="L35" s="5">
        <f>IF(K35&gt;0,ROUND(((K35-J35)*24)-SUM(CI35:CJ35)+CK35,2)+IF(Fredagsfrokost="n",IF(WEEKDAY($I35,2)=5,IF(K35&gt;=0.5,IF(K35&lt;=13/24,0,0),0),0),0),IF(BG35&gt;0,BG35,""))</f>
        <v>6.4</v>
      </c>
      <c r="M35" s="141">
        <f t="shared" si="37"/>
        <v>6</v>
      </c>
      <c r="N35" s="141">
        <f t="shared" si="38"/>
        <v>0.40000000000000036</v>
      </c>
      <c r="O35" s="141">
        <f t="shared" si="39"/>
        <v>0.24000000000000021</v>
      </c>
      <c r="P35" s="141">
        <f t="shared" si="40"/>
        <v>6.24</v>
      </c>
      <c r="Q35" s="591"/>
      <c r="R35" s="592"/>
      <c r="S35" s="592"/>
      <c r="T35" s="593"/>
      <c r="U35" s="431"/>
      <c r="V35" s="417"/>
      <c r="W35" s="240">
        <f t="shared" si="10"/>
        <v>0</v>
      </c>
      <c r="X35" s="240">
        <f t="shared" si="11"/>
        <v>0</v>
      </c>
      <c r="Y35" s="240">
        <f t="shared" si="12"/>
        <v>0</v>
      </c>
      <c r="Z35" s="242">
        <f t="shared" si="13"/>
        <v>0</v>
      </c>
      <c r="AA35" s="417"/>
      <c r="AB35" s="417"/>
      <c r="AC35" s="417"/>
      <c r="AD35" s="417"/>
      <c r="AE35" s="417"/>
      <c r="AF35" s="240">
        <f t="shared" si="14"/>
        <v>0</v>
      </c>
      <c r="AG35" s="240">
        <f t="shared" si="15"/>
        <v>0</v>
      </c>
      <c r="AH35" s="240">
        <f t="shared" si="16"/>
        <v>0</v>
      </c>
      <c r="AI35" s="242">
        <f t="shared" si="17"/>
        <v>0</v>
      </c>
      <c r="AJ35" s="417"/>
      <c r="AK35" s="417"/>
      <c r="AL35" s="417"/>
      <c r="AM35" s="417"/>
      <c r="AN35" s="472"/>
      <c r="AO35" s="240">
        <f t="shared" si="4"/>
        <v>0</v>
      </c>
      <c r="AP35" s="240">
        <f t="shared" si="5"/>
        <v>0</v>
      </c>
      <c r="AQ35" s="240">
        <f t="shared" si="6"/>
        <v>0</v>
      </c>
      <c r="AR35" s="242">
        <f t="shared" si="18"/>
        <v>0</v>
      </c>
      <c r="AS35" s="245"/>
      <c r="AT35" s="245"/>
      <c r="AU35" s="245"/>
      <c r="AV35" s="420"/>
      <c r="BH35" s="170"/>
      <c r="BI35" s="189"/>
      <c r="BJ35" s="189"/>
      <c r="BK35" s="189"/>
      <c r="BL35" s="189"/>
      <c r="BM35" s="189"/>
      <c r="BN35" s="189"/>
      <c r="BO35" s="189"/>
      <c r="BP35" s="189"/>
      <c r="BQ35" s="189"/>
      <c r="BR35" s="170"/>
      <c r="BS35" s="144">
        <f>IF($K35&gt;=0,+SUM(L$9:$L35)-$B35+Dec!$BI$41+SUM(AR$9:$AR35)," ")</f>
        <v>-3.33333333330188E-3</v>
      </c>
      <c r="BT35" s="144">
        <f t="shared" si="19"/>
        <v>-1</v>
      </c>
      <c r="BU35" s="146">
        <f t="shared" si="20"/>
        <v>0</v>
      </c>
      <c r="BV35" s="146"/>
      <c r="BW35" s="146"/>
      <c r="BX35" s="146"/>
      <c r="BY35" s="146"/>
      <c r="BZ35" s="146"/>
      <c r="CA35" s="146">
        <f t="shared" si="21"/>
        <v>-3.33333333330188E-3</v>
      </c>
      <c r="CB35" s="146">
        <f t="shared" si="22"/>
        <v>-1.999999999981128E-3</v>
      </c>
      <c r="CC35" s="164">
        <f t="shared" si="23"/>
        <v>-1.999999999981128E-3</v>
      </c>
      <c r="CD35" s="157">
        <f t="shared" si="24"/>
        <v>6.24</v>
      </c>
      <c r="CE35">
        <f t="shared" si="7"/>
        <v>2</v>
      </c>
    </row>
    <row r="36" spans="1:84" s="129" customFormat="1" ht="15.95" customHeight="1" x14ac:dyDescent="0.25">
      <c r="A36" s="125"/>
      <c r="B36" s="79" t="str">
        <f>IF($I36&lt;&gt;"",IF(WEEKDAY($I36,2)&lt;6,IF(VLOOKUP(WEEKDAY($I36,2),InputUge,3)&gt;0,IF($A36="",VLOOKUP(WEEKDAY($I36,2),InputUge,3)+MAX(B$8:B35),IF($A36&lt;VLOOKUP(WEEKDAY($I36,2),InputUge,3),$A36+MAX(B$8:B35),VLOOKUP(WEEKDAY($I36,2),InputUge,3)+MAX(B$8:B35))),""),""),"")</f>
        <v/>
      </c>
      <c r="C36" s="144">
        <f>IF(B36&lt;0,-1,1)</f>
        <v>1</v>
      </c>
      <c r="D36" s="146" t="e">
        <f t="shared" si="41"/>
        <v>#VALUE!</v>
      </c>
      <c r="E36" s="146" t="e">
        <f t="shared" si="42"/>
        <v>#VALUE!</v>
      </c>
      <c r="F36" s="146" t="e">
        <f>+E36/100*60</f>
        <v>#VALUE!</v>
      </c>
      <c r="G36" s="261"/>
      <c r="H36" s="4">
        <v>28</v>
      </c>
      <c r="I36" s="16">
        <f t="shared" si="9"/>
        <v>41636</v>
      </c>
      <c r="J36" s="6"/>
      <c r="K36" s="6"/>
      <c r="L36" s="5"/>
      <c r="M36" s="141"/>
      <c r="N36" s="141"/>
      <c r="O36" s="141"/>
      <c r="P36" s="141"/>
      <c r="Q36" s="591"/>
      <c r="R36" s="592"/>
      <c r="S36" s="592"/>
      <c r="T36" s="593"/>
      <c r="U36" s="431"/>
      <c r="V36" s="417"/>
      <c r="W36" s="240">
        <f t="shared" si="10"/>
        <v>0</v>
      </c>
      <c r="X36" s="240">
        <f t="shared" si="11"/>
        <v>0</v>
      </c>
      <c r="Y36" s="240">
        <f t="shared" si="12"/>
        <v>0</v>
      </c>
      <c r="Z36" s="242">
        <f t="shared" si="13"/>
        <v>0</v>
      </c>
      <c r="AA36" s="417"/>
      <c r="AB36" s="417"/>
      <c r="AC36" s="417"/>
      <c r="AD36" s="417"/>
      <c r="AE36" s="417"/>
      <c r="AF36" s="240">
        <f t="shared" si="14"/>
        <v>0</v>
      </c>
      <c r="AG36" s="240">
        <f t="shared" si="15"/>
        <v>0</v>
      </c>
      <c r="AH36" s="240">
        <f t="shared" si="16"/>
        <v>0</v>
      </c>
      <c r="AI36" s="242">
        <f t="shared" si="17"/>
        <v>0</v>
      </c>
      <c r="AJ36" s="417"/>
      <c r="AK36" s="417"/>
      <c r="AL36" s="417"/>
      <c r="AM36" s="417"/>
      <c r="AN36" s="472"/>
      <c r="AO36" s="240">
        <f t="shared" si="4"/>
        <v>0</v>
      </c>
      <c r="AP36" s="240">
        <f t="shared" si="5"/>
        <v>0</v>
      </c>
      <c r="AQ36" s="240">
        <f t="shared" si="6"/>
        <v>0</v>
      </c>
      <c r="AR36" s="242">
        <f t="shared" si="18"/>
        <v>0</v>
      </c>
      <c r="AS36" s="245"/>
      <c r="AT36" s="245"/>
      <c r="AU36" s="245"/>
      <c r="AV36" s="420"/>
      <c r="BH36" s="484"/>
      <c r="BI36" s="188"/>
      <c r="BJ36" s="188"/>
      <c r="BK36" s="188"/>
      <c r="BL36" s="188"/>
      <c r="BM36" s="188"/>
      <c r="BN36" s="188"/>
      <c r="BO36" s="188"/>
      <c r="BP36" s="188"/>
      <c r="BQ36" s="188"/>
      <c r="BR36" s="170"/>
      <c r="BS36" s="144" t="e">
        <f>IF($K36&gt;=0,+SUM(L$9:$L36)-$B36+Dec!$BI$41+SUM(AR$9:$AR36)," ")</f>
        <v>#VALUE!</v>
      </c>
      <c r="BT36" s="144" t="e">
        <f t="shared" si="19"/>
        <v>#VALUE!</v>
      </c>
      <c r="BU36" s="146" t="e">
        <f t="shared" si="20"/>
        <v>#VALUE!</v>
      </c>
      <c r="BV36" s="146"/>
      <c r="BW36" s="146"/>
      <c r="BX36" s="146"/>
      <c r="BY36" s="146"/>
      <c r="BZ36" s="146"/>
      <c r="CA36" s="146" t="e">
        <f t="shared" si="21"/>
        <v>#VALUE!</v>
      </c>
      <c r="CB36" s="146" t="e">
        <f t="shared" si="22"/>
        <v>#VALUE!</v>
      </c>
      <c r="CC36" s="164"/>
      <c r="CD36" s="157">
        <f t="shared" si="24"/>
        <v>0</v>
      </c>
      <c r="CE36">
        <f t="shared" si="7"/>
        <v>2</v>
      </c>
    </row>
    <row r="37" spans="1:84" s="129" customFormat="1" ht="15.95" customHeight="1" x14ac:dyDescent="0.25">
      <c r="A37" s="125"/>
      <c r="B37" s="79" t="str">
        <f>IF($I37&lt;&gt;"",IF(WEEKDAY($I37,2)&lt;6,IF(VLOOKUP(WEEKDAY($I37,2),InputUge,3)&gt;0,IF($A37="",VLOOKUP(WEEKDAY($I37,2),InputUge,3)+MAX(B$8:B36),IF($A37&lt;VLOOKUP(WEEKDAY($I37,2),InputUge,3),$A37+MAX(B$8:B36),VLOOKUP(WEEKDAY($I37,2),InputUge,3)+MAX(B$8:B36))),""),""),"")</f>
        <v/>
      </c>
      <c r="C37" s="144">
        <f>IF(B37&lt;0,-1,1)</f>
        <v>1</v>
      </c>
      <c r="D37" s="146" t="e">
        <f t="shared" si="41"/>
        <v>#VALUE!</v>
      </c>
      <c r="E37" s="146" t="e">
        <f t="shared" si="42"/>
        <v>#VALUE!</v>
      </c>
      <c r="F37" s="146" t="e">
        <f>+E37/100*60</f>
        <v>#VALUE!</v>
      </c>
      <c r="G37" s="261"/>
      <c r="H37" s="4">
        <v>29</v>
      </c>
      <c r="I37" s="16">
        <f t="shared" si="9"/>
        <v>41637</v>
      </c>
      <c r="J37" s="6"/>
      <c r="K37" s="6"/>
      <c r="L37" s="5"/>
      <c r="M37" s="141">
        <f>FLOOR(L37,1)</f>
        <v>0</v>
      </c>
      <c r="N37" s="141">
        <f>+L37-M37</f>
        <v>0</v>
      </c>
      <c r="O37" s="141">
        <f>+N37/100*60</f>
        <v>0</v>
      </c>
      <c r="P37" s="141" t="str">
        <f t="shared" si="40"/>
        <v/>
      </c>
      <c r="Q37" s="591"/>
      <c r="R37" s="592"/>
      <c r="S37" s="592"/>
      <c r="T37" s="593"/>
      <c r="U37" s="431"/>
      <c r="V37" s="417"/>
      <c r="W37" s="240">
        <f t="shared" si="10"/>
        <v>0</v>
      </c>
      <c r="X37" s="240">
        <f t="shared" si="11"/>
        <v>0</v>
      </c>
      <c r="Y37" s="240">
        <f t="shared" si="12"/>
        <v>0</v>
      </c>
      <c r="Z37" s="242">
        <f t="shared" si="13"/>
        <v>0</v>
      </c>
      <c r="AA37" s="417"/>
      <c r="AB37" s="417"/>
      <c r="AC37" s="417"/>
      <c r="AD37" s="417"/>
      <c r="AE37" s="417"/>
      <c r="AF37" s="240">
        <f t="shared" si="14"/>
        <v>0</v>
      </c>
      <c r="AG37" s="240">
        <f t="shared" si="15"/>
        <v>0</v>
      </c>
      <c r="AH37" s="240">
        <f t="shared" si="16"/>
        <v>0</v>
      </c>
      <c r="AI37" s="242">
        <f t="shared" si="17"/>
        <v>0</v>
      </c>
      <c r="AJ37" s="417"/>
      <c r="AK37" s="417"/>
      <c r="AL37" s="417"/>
      <c r="AM37" s="417"/>
      <c r="AN37" s="472"/>
      <c r="AO37" s="240">
        <f t="shared" si="4"/>
        <v>0</v>
      </c>
      <c r="AP37" s="240">
        <f t="shared" si="5"/>
        <v>0</v>
      </c>
      <c r="AQ37" s="240">
        <f t="shared" si="6"/>
        <v>0</v>
      </c>
      <c r="AR37" s="242">
        <f t="shared" si="18"/>
        <v>0</v>
      </c>
      <c r="AS37" s="245"/>
      <c r="AT37" s="245"/>
      <c r="AU37" s="245"/>
      <c r="AV37" s="420"/>
      <c r="BH37" s="484"/>
      <c r="BI37" s="188"/>
      <c r="BJ37" s="188"/>
      <c r="BK37" s="188"/>
      <c r="BL37" s="188"/>
      <c r="BM37" s="188"/>
      <c r="BN37" s="188"/>
      <c r="BO37" s="188"/>
      <c r="BP37" s="188"/>
      <c r="BQ37" s="188"/>
      <c r="BR37" s="170"/>
      <c r="BS37" s="144" t="e">
        <f>IF($K37&gt;=0,+SUM(L$9:$L37)-$B37+Dec!$BI$41+SUM(AR$9:$AR37)," ")</f>
        <v>#VALUE!</v>
      </c>
      <c r="BT37" s="144" t="e">
        <f t="shared" si="19"/>
        <v>#VALUE!</v>
      </c>
      <c r="BU37" s="146" t="e">
        <f t="shared" si="20"/>
        <v>#VALUE!</v>
      </c>
      <c r="BV37" s="146"/>
      <c r="BW37" s="146"/>
      <c r="BX37" s="146"/>
      <c r="BY37" s="146"/>
      <c r="BZ37" s="146"/>
      <c r="CA37" s="146" t="e">
        <f t="shared" si="21"/>
        <v>#VALUE!</v>
      </c>
      <c r="CB37" s="146" t="e">
        <f t="shared" si="22"/>
        <v>#VALUE!</v>
      </c>
      <c r="CC37" s="164" t="str">
        <f t="shared" si="23"/>
        <v/>
      </c>
      <c r="CD37" s="157" t="str">
        <f t="shared" si="24"/>
        <v/>
      </c>
      <c r="CE37">
        <f t="shared" si="7"/>
        <v>1</v>
      </c>
    </row>
    <row r="38" spans="1:84" s="129" customFormat="1" ht="15.95" customHeight="1" x14ac:dyDescent="0.25">
      <c r="A38" s="125" t="s">
        <v>63</v>
      </c>
      <c r="B38" s="79">
        <f>IF($I38&lt;&gt;"",IF(WEEKDAY($I38,2)&lt;6,IF(VLOOKUP(WEEKDAY($I38,2),InputUge,3)&gt;0,IF($A38="",VLOOKUP(WEEKDAY($I38,2),InputUge,3)+MAX(B$8:B37),IF($A38&lt;VLOOKUP(WEEKDAY($I38,2),InputUge,3),$A38+MAX(B$8:B37),VLOOKUP(WEEKDAY($I38,2),InputUge,3)+MAX(B$8:B37))),""),""),"")</f>
        <v>155.09</v>
      </c>
      <c r="C38" s="144">
        <f>IF(B38&lt;0,-1,1)</f>
        <v>1</v>
      </c>
      <c r="D38" s="146">
        <f t="shared" si="41"/>
        <v>155</v>
      </c>
      <c r="E38" s="146">
        <f t="shared" si="42"/>
        <v>9.0000000000003411E-2</v>
      </c>
      <c r="F38" s="146">
        <f>+E38/100*60</f>
        <v>5.4000000000002046E-2</v>
      </c>
      <c r="G38" s="261">
        <f t="shared" si="8"/>
        <v>155.054</v>
      </c>
      <c r="H38" s="4">
        <v>30</v>
      </c>
      <c r="I38" s="16">
        <f t="shared" si="9"/>
        <v>41638</v>
      </c>
      <c r="J38" s="6">
        <v>0.34826388888888887</v>
      </c>
      <c r="K38" s="6">
        <v>0.64265046296296291</v>
      </c>
      <c r="L38" s="5">
        <f>IF(K38&gt;0,ROUND(((K38-J38)*24)-SUM(CI38:CJ38)+CK38,2)+IF(Fredagsfrokost="n",IF(WEEKDAY($I38,2)=5,IF(K38&gt;=0.5,IF(K38&lt;=13/24,0,0),0),0),0),IF(BG38&gt;0,BG38,""))</f>
        <v>7.07</v>
      </c>
      <c r="M38" s="141">
        <f>FLOOR(L38,1)</f>
        <v>7</v>
      </c>
      <c r="N38" s="141">
        <f>+L38-M38</f>
        <v>7.0000000000000284E-2</v>
      </c>
      <c r="O38" s="141">
        <f>+N38/100*60</f>
        <v>4.2000000000000169E-2</v>
      </c>
      <c r="P38" s="141">
        <f t="shared" si="40"/>
        <v>7.0419999999999998</v>
      </c>
      <c r="Q38" s="591"/>
      <c r="R38" s="592"/>
      <c r="S38" s="592"/>
      <c r="T38" s="593"/>
      <c r="U38" s="431"/>
      <c r="V38" s="417"/>
      <c r="W38" s="240">
        <f t="shared" si="10"/>
        <v>0</v>
      </c>
      <c r="X38" s="240">
        <f t="shared" si="11"/>
        <v>0</v>
      </c>
      <c r="Y38" s="240">
        <f t="shared" si="12"/>
        <v>0</v>
      </c>
      <c r="Z38" s="242">
        <f t="shared" si="13"/>
        <v>0</v>
      </c>
      <c r="AA38" s="417"/>
      <c r="AB38" s="417"/>
      <c r="AC38" s="417"/>
      <c r="AD38" s="417"/>
      <c r="AE38" s="417"/>
      <c r="AF38" s="240">
        <f t="shared" si="14"/>
        <v>0</v>
      </c>
      <c r="AG38" s="240">
        <f t="shared" si="15"/>
        <v>0</v>
      </c>
      <c r="AH38" s="240">
        <f t="shared" si="16"/>
        <v>0</v>
      </c>
      <c r="AI38" s="242">
        <f t="shared" si="17"/>
        <v>0</v>
      </c>
      <c r="AJ38" s="417"/>
      <c r="AK38" s="417"/>
      <c r="AL38" s="417"/>
      <c r="AM38" s="417"/>
      <c r="AN38" s="472"/>
      <c r="AO38" s="240">
        <f t="shared" si="4"/>
        <v>0</v>
      </c>
      <c r="AP38" s="240">
        <f t="shared" si="5"/>
        <v>0</v>
      </c>
      <c r="AQ38" s="240">
        <f t="shared" si="6"/>
        <v>0</v>
      </c>
      <c r="AR38" s="242">
        <f t="shared" si="18"/>
        <v>0</v>
      </c>
      <c r="AS38" s="245"/>
      <c r="AT38" s="245"/>
      <c r="AU38" s="245"/>
      <c r="AV38" s="420"/>
      <c r="BH38" s="484"/>
      <c r="BI38" s="188"/>
      <c r="BJ38" s="188"/>
      <c r="BK38" s="188"/>
      <c r="BL38" s="188"/>
      <c r="BM38" s="188"/>
      <c r="BN38" s="188"/>
      <c r="BO38" s="188"/>
      <c r="BP38" s="188"/>
      <c r="BQ38" s="188"/>
      <c r="BR38" s="170"/>
      <c r="BS38" s="144">
        <f>IF($K38&gt;=0,+SUM(L$9:$L38)-$B38+Dec!$BI$41+SUM(AR$9:$AR38)," ")</f>
        <v>3.3333333333587234E-3</v>
      </c>
      <c r="BT38" s="144">
        <f t="shared" si="19"/>
        <v>1</v>
      </c>
      <c r="BU38" s="146">
        <f t="shared" si="20"/>
        <v>0</v>
      </c>
      <c r="BV38" s="146"/>
      <c r="BW38" s="146"/>
      <c r="BX38" s="146"/>
      <c r="BY38" s="146"/>
      <c r="BZ38" s="146"/>
      <c r="CA38" s="146">
        <f t="shared" si="21"/>
        <v>3.3333333333587234E-3</v>
      </c>
      <c r="CB38" s="146">
        <f t="shared" si="22"/>
        <v>2.0000000000152339E-3</v>
      </c>
      <c r="CC38" s="164">
        <f t="shared" si="23"/>
        <v>2.0000000000152339E-3</v>
      </c>
      <c r="CD38" s="157">
        <f t="shared" si="24"/>
        <v>7.0419999999999998</v>
      </c>
      <c r="CE38">
        <f t="shared" si="7"/>
        <v>2</v>
      </c>
    </row>
    <row r="39" spans="1:84" s="129" customFormat="1" ht="15.95" customHeight="1" thickBot="1" x14ac:dyDescent="0.3">
      <c r="A39" s="130" t="s">
        <v>67</v>
      </c>
      <c r="B39" s="79"/>
      <c r="C39" s="144"/>
      <c r="D39" s="146"/>
      <c r="E39" s="146"/>
      <c r="F39" s="146"/>
      <c r="G39" s="261">
        <f t="shared" si="8"/>
        <v>0</v>
      </c>
      <c r="H39" s="131">
        <v>31</v>
      </c>
      <c r="I39" s="132">
        <f t="shared" si="9"/>
        <v>41639</v>
      </c>
      <c r="J39" s="489"/>
      <c r="K39" s="489"/>
      <c r="L39" s="490" t="str">
        <f>IF(K39&gt;0,ROUND(((K39-J39)*24)-SUM(CI39:CJ39)+CK39,2)+IF(Fredagsfrokost="n",IF(WEEKDAY($I39,2)=5,IF(K39&gt;=0.5,IF(K39&lt;=13/24,0,0),0),0),0),IF(BG39&gt;0,BG39,""))</f>
        <v/>
      </c>
      <c r="M39" s="491" t="e">
        <f>FLOOR(L39,1)</f>
        <v>#VALUE!</v>
      </c>
      <c r="N39" s="491" t="e">
        <f>+L39-M39</f>
        <v>#VALUE!</v>
      </c>
      <c r="O39" s="491" t="e">
        <f>+N39/100*60</f>
        <v>#VALUE!</v>
      </c>
      <c r="P39" s="491"/>
      <c r="Q39" s="591"/>
      <c r="R39" s="592"/>
      <c r="S39" s="592"/>
      <c r="T39" s="593"/>
      <c r="U39" s="431"/>
      <c r="V39" s="417"/>
      <c r="W39" s="240">
        <f t="shared" si="10"/>
        <v>0</v>
      </c>
      <c r="X39" s="240">
        <f t="shared" si="11"/>
        <v>0</v>
      </c>
      <c r="Y39" s="240">
        <f t="shared" si="12"/>
        <v>0</v>
      </c>
      <c r="Z39" s="242">
        <f t="shared" si="13"/>
        <v>0</v>
      </c>
      <c r="AA39" s="417"/>
      <c r="AB39" s="417"/>
      <c r="AC39" s="417"/>
      <c r="AD39" s="417"/>
      <c r="AE39" s="417"/>
      <c r="AF39" s="240">
        <f t="shared" si="14"/>
        <v>0</v>
      </c>
      <c r="AG39" s="240">
        <f t="shared" si="15"/>
        <v>0</v>
      </c>
      <c r="AH39" s="240">
        <f t="shared" si="16"/>
        <v>0</v>
      </c>
      <c r="AI39" s="242">
        <f t="shared" si="17"/>
        <v>0</v>
      </c>
      <c r="AJ39" s="417"/>
      <c r="AK39" s="417"/>
      <c r="AL39" s="417"/>
      <c r="AM39" s="417"/>
      <c r="AN39" s="472"/>
      <c r="AO39" s="240">
        <f>FLOOR(AN39,1)</f>
        <v>0</v>
      </c>
      <c r="AP39" s="240">
        <f t="shared" si="5"/>
        <v>0</v>
      </c>
      <c r="AQ39" s="240">
        <f t="shared" si="6"/>
        <v>0</v>
      </c>
      <c r="AR39" s="242">
        <f t="shared" si="18"/>
        <v>0</v>
      </c>
      <c r="AS39" s="245"/>
      <c r="AT39" s="245"/>
      <c r="AU39" s="245"/>
      <c r="AV39" s="420"/>
      <c r="BH39" s="484"/>
      <c r="BI39" s="188"/>
      <c r="BJ39" s="188"/>
      <c r="BK39" s="188"/>
      <c r="BL39" s="188"/>
      <c r="BM39" s="188"/>
      <c r="BN39" s="188"/>
      <c r="BO39" s="188"/>
      <c r="BP39" s="188"/>
      <c r="BQ39" s="188"/>
      <c r="BR39" s="170"/>
      <c r="BS39" s="144">
        <f>IF($K39&gt;=0,+SUM(L$9:$L39)-$B39+Dec!$BI$41+SUM(AR$9:$AR39)," ")</f>
        <v>155.09333333333336</v>
      </c>
      <c r="BT39" s="144">
        <f t="shared" si="19"/>
        <v>1</v>
      </c>
      <c r="BU39" s="146">
        <f t="shared" si="20"/>
        <v>155</v>
      </c>
      <c r="BV39" s="146"/>
      <c r="BW39" s="146"/>
      <c r="BX39" s="146"/>
      <c r="BY39" s="146"/>
      <c r="BZ39" s="146"/>
      <c r="CA39" s="146">
        <f t="shared" si="21"/>
        <v>9.3333333333362134E-2</v>
      </c>
      <c r="CB39" s="146">
        <f t="shared" si="22"/>
        <v>5.6000000000017279E-2</v>
      </c>
      <c r="CC39" s="164"/>
      <c r="CD39" s="157">
        <f t="shared" si="24"/>
        <v>0</v>
      </c>
      <c r="CE39">
        <f t="shared" si="7"/>
        <v>2</v>
      </c>
      <c r="CF39" s="133"/>
    </row>
    <row r="40" spans="1:84" ht="15.95" customHeight="1" thickBot="1" x14ac:dyDescent="0.3">
      <c r="B40" s="80">
        <f>MAX($B$8:$B39)</f>
        <v>155.09</v>
      </c>
      <c r="C40" s="80"/>
      <c r="D40" s="80"/>
      <c r="E40" s="80"/>
      <c r="F40" s="80"/>
      <c r="G40" s="279">
        <f>MAX($G$8:$G39)</f>
        <v>155.054</v>
      </c>
      <c r="H40" s="10" t="s">
        <v>1</v>
      </c>
      <c r="I40" s="120"/>
      <c r="J40" s="683">
        <f>SUM(L40:L40)-SUM(V41:W41)</f>
        <v>155.09</v>
      </c>
      <c r="K40" s="684"/>
      <c r="L40" s="76">
        <f>SUM(L9:L39)</f>
        <v>155.09</v>
      </c>
      <c r="M40" s="250">
        <f>FLOOR(L40,1)</f>
        <v>155</v>
      </c>
      <c r="N40" s="251">
        <f>+L40-M40</f>
        <v>9.0000000000003411E-2</v>
      </c>
      <c r="O40" s="251">
        <f>+N40/100*60</f>
        <v>5.4000000000002046E-2</v>
      </c>
      <c r="P40" s="276">
        <f>+O40+M40</f>
        <v>155.054</v>
      </c>
      <c r="Q40" s="685"/>
      <c r="R40" s="630"/>
      <c r="S40" s="630"/>
      <c r="T40" s="642"/>
      <c r="U40" s="432"/>
      <c r="V40" s="433">
        <f>+AD40</f>
        <v>0</v>
      </c>
      <c r="W40" s="433"/>
      <c r="X40" s="433"/>
      <c r="Y40" s="433"/>
      <c r="Z40" s="434">
        <f>SUM(Z9:Z39)</f>
        <v>0</v>
      </c>
      <c r="AA40" s="147">
        <f>FLOOR(Z40,1)</f>
        <v>0</v>
      </c>
      <c r="AB40" s="147">
        <f>+Z40-AA40</f>
        <v>0</v>
      </c>
      <c r="AC40" s="147">
        <f>+AB40/100*60</f>
        <v>0</v>
      </c>
      <c r="AD40" s="147">
        <f>+AC40+AA40</f>
        <v>0</v>
      </c>
      <c r="AE40" s="433">
        <f>+AM40</f>
        <v>0</v>
      </c>
      <c r="AF40" s="433"/>
      <c r="AG40" s="433"/>
      <c r="AH40" s="433"/>
      <c r="AI40" s="434">
        <f>SUM(AI9:AI39)</f>
        <v>0</v>
      </c>
      <c r="AJ40" s="147">
        <f>FLOOR(AI40,1)</f>
        <v>0</v>
      </c>
      <c r="AK40" s="147">
        <f>+AI40-AJ40</f>
        <v>0</v>
      </c>
      <c r="AL40" s="147">
        <f>+AK40/100*60</f>
        <v>0</v>
      </c>
      <c r="AM40" s="435">
        <f>+AL40+AJ40</f>
        <v>0</v>
      </c>
      <c r="AN40" s="473">
        <f>+AV40</f>
        <v>0</v>
      </c>
      <c r="AO40" s="459"/>
      <c r="AP40" s="434"/>
      <c r="AQ40" s="434"/>
      <c r="AR40" s="434">
        <f>SUM(AR9:AR39)</f>
        <v>0</v>
      </c>
      <c r="AS40" s="147">
        <f>FLOOR(AR40,1)</f>
        <v>0</v>
      </c>
      <c r="AT40" s="147">
        <f>+AR40-AS40</f>
        <v>0</v>
      </c>
      <c r="AU40" s="147">
        <f>+AT40/100*60</f>
        <v>0</v>
      </c>
      <c r="AV40" s="147">
        <f>+AU40+AS40</f>
        <v>0</v>
      </c>
      <c r="AW40" s="129"/>
      <c r="AX40" s="129"/>
      <c r="AY40" s="484"/>
      <c r="AZ40" s="129"/>
      <c r="BA40" s="129"/>
      <c r="BB40" s="484"/>
      <c r="BC40" s="129"/>
      <c r="BD40" s="129"/>
      <c r="BE40" s="484"/>
      <c r="BF40" s="129"/>
      <c r="BG40" s="129"/>
      <c r="BH40" s="484"/>
      <c r="BI40" s="191"/>
      <c r="BJ40" s="191"/>
      <c r="BK40" s="191"/>
      <c r="BL40" s="191"/>
      <c r="BM40" s="191"/>
      <c r="BN40" s="191"/>
      <c r="BO40" s="191"/>
      <c r="BP40" s="191"/>
      <c r="BQ40" s="191"/>
      <c r="BR40" s="383"/>
      <c r="BS40" s="138"/>
      <c r="BT40" s="143"/>
      <c r="BU40" s="143"/>
      <c r="BV40" s="143"/>
      <c r="BW40" s="143"/>
      <c r="BX40" s="143"/>
      <c r="BY40" s="143"/>
      <c r="BZ40" s="143"/>
      <c r="CA40" s="143"/>
      <c r="CB40" s="143"/>
      <c r="CC40" s="168"/>
    </row>
    <row r="41" spans="1:84" ht="15.95" customHeight="1" x14ac:dyDescent="0.25">
      <c r="H41" s="623"/>
      <c r="I41" s="623"/>
      <c r="J41" s="624"/>
      <c r="K41" s="624"/>
      <c r="L41" s="624"/>
      <c r="M41" s="124"/>
      <c r="N41" s="124"/>
      <c r="O41" s="124"/>
      <c r="P41" s="124"/>
      <c r="Q41" s="124"/>
      <c r="R41" s="124"/>
      <c r="S41" s="124"/>
      <c r="T41" s="686" t="s">
        <v>10</v>
      </c>
      <c r="U41" s="687"/>
      <c r="V41" s="687"/>
      <c r="W41" s="687"/>
      <c r="X41" s="687"/>
      <c r="Y41" s="687"/>
      <c r="Z41" s="687"/>
      <c r="AA41" s="687"/>
      <c r="AB41" s="687"/>
      <c r="AC41" s="687"/>
      <c r="AD41" s="687"/>
      <c r="AE41" s="687"/>
      <c r="AF41" s="687"/>
      <c r="AG41" s="687"/>
      <c r="AH41" s="687"/>
      <c r="AI41" s="687"/>
      <c r="AJ41" s="687"/>
      <c r="AK41" s="687"/>
      <c r="AL41" s="687"/>
      <c r="AM41" s="687"/>
      <c r="AN41" s="687"/>
      <c r="AO41" s="400"/>
      <c r="AP41" s="400"/>
      <c r="AQ41" s="400"/>
      <c r="AR41" s="400"/>
      <c r="AS41" s="400"/>
      <c r="AT41" s="400"/>
      <c r="AU41" s="400"/>
      <c r="AV41" s="400"/>
      <c r="AW41" s="538">
        <f>+Nov!AV43</f>
        <v>2.0000000000152339E-3</v>
      </c>
      <c r="AX41" s="538"/>
      <c r="AY41" s="538"/>
      <c r="AZ41" s="538"/>
      <c r="BA41" s="538"/>
      <c r="BB41" s="538"/>
      <c r="BC41" s="538"/>
      <c r="BD41" s="538"/>
      <c r="BE41" s="538"/>
      <c r="BF41" s="538"/>
      <c r="BG41" s="633"/>
      <c r="BH41" s="484"/>
      <c r="BI41" s="485">
        <f>+Nov!AZ43</f>
        <v>3.3333333333587234E-3</v>
      </c>
      <c r="BJ41" s="144">
        <f t="shared" ref="BJ41:BJ46" si="43">IF(BI41&lt;0,-1,1)</f>
        <v>1</v>
      </c>
      <c r="BK41" s="146">
        <f t="shared" ref="BK41:BK46" si="44">FLOOR(BI41,BJ41)</f>
        <v>0</v>
      </c>
      <c r="BL41" s="141">
        <f>+BI41-BK41</f>
        <v>3.3333333333587234E-3</v>
      </c>
      <c r="BM41" s="141">
        <f>+BL41/100*60</f>
        <v>2.0000000000152339E-3</v>
      </c>
      <c r="BN41" s="162">
        <f>+BM41+BK41</f>
        <v>2.0000000000152339E-3</v>
      </c>
      <c r="BO41" s="77"/>
      <c r="BP41" s="77"/>
      <c r="BQ41" s="77"/>
      <c r="BR41" s="170"/>
    </row>
    <row r="42" spans="1:84" ht="15.95" customHeight="1" x14ac:dyDescent="0.25">
      <c r="H42" s="94"/>
      <c r="I42" s="94"/>
      <c r="J42" s="94"/>
      <c r="K42" s="94"/>
      <c r="L42" s="100"/>
      <c r="M42" s="100"/>
      <c r="N42" s="100"/>
      <c r="O42" s="100"/>
      <c r="P42" s="100"/>
      <c r="Q42" s="100"/>
      <c r="R42" s="100"/>
      <c r="S42" s="100"/>
      <c r="T42" s="688" t="s">
        <v>11</v>
      </c>
      <c r="U42" s="604"/>
      <c r="V42" s="604"/>
      <c r="W42" s="604"/>
      <c r="X42" s="604"/>
      <c r="Y42" s="604"/>
      <c r="Z42" s="604"/>
      <c r="AA42" s="604"/>
      <c r="AB42" s="604"/>
      <c r="AC42" s="604"/>
      <c r="AD42" s="604"/>
      <c r="AE42" s="604"/>
      <c r="AF42" s="604"/>
      <c r="AG42" s="604"/>
      <c r="AH42" s="604"/>
      <c r="AI42" s="604"/>
      <c r="AJ42" s="604"/>
      <c r="AK42" s="604"/>
      <c r="AL42" s="604"/>
      <c r="AM42" s="604"/>
      <c r="AN42" s="604"/>
      <c r="AO42" s="401"/>
      <c r="AP42" s="401"/>
      <c r="AQ42" s="401"/>
      <c r="AR42" s="401"/>
      <c r="AS42" s="401"/>
      <c r="AT42" s="401"/>
      <c r="AU42" s="401"/>
      <c r="AV42" s="401"/>
      <c r="AW42" s="606">
        <f>+BN42</f>
        <v>155.054</v>
      </c>
      <c r="AX42" s="606"/>
      <c r="AY42" s="606"/>
      <c r="AZ42" s="606"/>
      <c r="BA42" s="606"/>
      <c r="BB42" s="606"/>
      <c r="BC42" s="606"/>
      <c r="BD42" s="606"/>
      <c r="BE42" s="606"/>
      <c r="BF42" s="606"/>
      <c r="BG42" s="607"/>
      <c r="BH42" s="101"/>
      <c r="BI42" s="485">
        <f>+J40+AR40</f>
        <v>155.09</v>
      </c>
      <c r="BJ42" s="144">
        <f t="shared" si="43"/>
        <v>1</v>
      </c>
      <c r="BK42" s="146">
        <f t="shared" si="44"/>
        <v>155</v>
      </c>
      <c r="BL42" s="141">
        <f>+BI42-BK42</f>
        <v>9.0000000000003411E-2</v>
      </c>
      <c r="BM42" s="141">
        <f>+BL42/100*60</f>
        <v>5.4000000000002046E-2</v>
      </c>
      <c r="BN42" s="162">
        <f>+BM42+BK42</f>
        <v>155.054</v>
      </c>
      <c r="BO42" s="101"/>
      <c r="BP42" s="101"/>
      <c r="BQ42" s="101"/>
      <c r="BR42" s="170"/>
    </row>
    <row r="43" spans="1:84" ht="15.95" customHeight="1" x14ac:dyDescent="0.25">
      <c r="H43" s="611"/>
      <c r="I43" s="611"/>
      <c r="J43" s="611"/>
      <c r="K43" s="611"/>
      <c r="L43" s="611"/>
      <c r="M43" s="611"/>
      <c r="N43" s="611"/>
      <c r="O43" s="611"/>
      <c r="P43" s="611"/>
      <c r="Q43" s="160"/>
      <c r="R43" s="160"/>
      <c r="S43" s="160"/>
      <c r="T43" s="689" t="s">
        <v>87</v>
      </c>
      <c r="U43" s="604"/>
      <c r="V43" s="604"/>
      <c r="W43" s="604"/>
      <c r="X43" s="604"/>
      <c r="Y43" s="604"/>
      <c r="Z43" s="604"/>
      <c r="AA43" s="604"/>
      <c r="AB43" s="604"/>
      <c r="AC43" s="604"/>
      <c r="AD43" s="604"/>
      <c r="AE43" s="604"/>
      <c r="AF43" s="604"/>
      <c r="AG43" s="604"/>
      <c r="AH43" s="604"/>
      <c r="AI43" s="604"/>
      <c r="AJ43" s="604"/>
      <c r="AK43" s="604"/>
      <c r="AL43" s="604"/>
      <c r="AM43" s="604"/>
      <c r="AN43" s="604"/>
      <c r="AO43" s="401"/>
      <c r="AP43" s="401"/>
      <c r="AQ43" s="401"/>
      <c r="AR43" s="401"/>
      <c r="AS43" s="401"/>
      <c r="AT43" s="401"/>
      <c r="AU43" s="401"/>
      <c r="AV43" s="401"/>
      <c r="AW43" s="543">
        <f>+BN43</f>
        <v>155.054</v>
      </c>
      <c r="AX43" s="543"/>
      <c r="AY43" s="543"/>
      <c r="AZ43" s="543"/>
      <c r="BA43" s="543"/>
      <c r="BB43" s="543"/>
      <c r="BC43" s="543"/>
      <c r="BD43" s="543"/>
      <c r="BE43" s="543"/>
      <c r="BF43" s="543"/>
      <c r="BG43" s="544"/>
      <c r="BH43" s="170"/>
      <c r="BI43" s="486">
        <f>+B40</f>
        <v>155.09</v>
      </c>
      <c r="BJ43" s="144">
        <f t="shared" si="43"/>
        <v>1</v>
      </c>
      <c r="BK43" s="146">
        <f t="shared" si="44"/>
        <v>155</v>
      </c>
      <c r="BL43" s="141">
        <f>+BI43-BK43</f>
        <v>9.0000000000003411E-2</v>
      </c>
      <c r="BM43" s="141">
        <f>+BL43/100*60</f>
        <v>5.4000000000002046E-2</v>
      </c>
      <c r="BN43" s="162">
        <f>+BM43+BK43</f>
        <v>155.054</v>
      </c>
      <c r="BO43" s="170"/>
      <c r="BP43" s="170"/>
      <c r="BQ43" s="170"/>
      <c r="BR43" s="170"/>
    </row>
    <row r="44" spans="1:84" ht="18.75" customHeight="1" thickBot="1" x14ac:dyDescent="0.3">
      <c r="H44" s="96"/>
      <c r="I44" s="96"/>
      <c r="J44" s="96"/>
      <c r="K44" s="96"/>
      <c r="L44" s="97"/>
      <c r="M44" s="97"/>
      <c r="N44" s="97"/>
      <c r="O44" s="97"/>
      <c r="P44" s="97"/>
      <c r="Q44" s="97"/>
      <c r="R44" s="97"/>
      <c r="S44" s="97"/>
      <c r="T44" s="679" t="s">
        <v>13</v>
      </c>
      <c r="U44" s="680"/>
      <c r="V44" s="680"/>
      <c r="W44" s="680"/>
      <c r="X44" s="680"/>
      <c r="Y44" s="680"/>
      <c r="Z44" s="680"/>
      <c r="AA44" s="680"/>
      <c r="AB44" s="680"/>
      <c r="AC44" s="680"/>
      <c r="AD44" s="680"/>
      <c r="AE44" s="680"/>
      <c r="AF44" s="680"/>
      <c r="AG44" s="680"/>
      <c r="AH44" s="680"/>
      <c r="AI44" s="680"/>
      <c r="AJ44" s="680"/>
      <c r="AK44" s="680"/>
      <c r="AL44" s="680"/>
      <c r="AM44" s="680"/>
      <c r="AN44" s="680"/>
      <c r="AO44" s="402"/>
      <c r="AP44" s="402"/>
      <c r="AQ44" s="402"/>
      <c r="AR44" s="402"/>
      <c r="AS44" s="402"/>
      <c r="AT44" s="402"/>
      <c r="AU44" s="402"/>
      <c r="AV44" s="402"/>
      <c r="AW44" s="545">
        <f>+BN44</f>
        <v>2.0000000000152339E-3</v>
      </c>
      <c r="AX44" s="545"/>
      <c r="AY44" s="545"/>
      <c r="AZ44" s="545"/>
      <c r="BA44" s="545"/>
      <c r="BB44" s="545"/>
      <c r="BC44" s="545"/>
      <c r="BD44" s="545"/>
      <c r="BE44" s="545"/>
      <c r="BF44" s="545"/>
      <c r="BG44" s="609"/>
      <c r="BH44" s="170"/>
      <c r="BI44" s="486">
        <f>+BI41+BI42-BI43</f>
        <v>3.3333333333587234E-3</v>
      </c>
      <c r="BJ44" s="144">
        <f t="shared" si="43"/>
        <v>1</v>
      </c>
      <c r="BK44" s="146">
        <f t="shared" si="44"/>
        <v>0</v>
      </c>
      <c r="BL44" s="141">
        <f>+BI44-BK44</f>
        <v>3.3333333333587234E-3</v>
      </c>
      <c r="BM44" s="141">
        <f>+BL44/100*60</f>
        <v>2.0000000000152339E-3</v>
      </c>
      <c r="BN44" s="162">
        <f>+BM44+BK44</f>
        <v>2.0000000000152339E-3</v>
      </c>
      <c r="BO44" s="170"/>
      <c r="BP44" s="170"/>
      <c r="BQ44" s="170"/>
      <c r="BR44" s="170"/>
    </row>
    <row r="45" spans="1:84" ht="15.95" customHeight="1" x14ac:dyDescent="0.25">
      <c r="H45" s="96"/>
      <c r="I45" s="96"/>
      <c r="J45" s="96"/>
      <c r="K45" s="96"/>
      <c r="L45" s="96"/>
      <c r="M45" s="96"/>
      <c r="N45" s="96"/>
      <c r="O45" s="96"/>
      <c r="P45" s="95"/>
      <c r="Q45" s="96"/>
      <c r="R45" s="96"/>
      <c r="S45" s="96"/>
      <c r="T45" s="246"/>
      <c r="U45" s="96"/>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2"/>
      <c r="BH45" s="170"/>
      <c r="BI45" s="170"/>
      <c r="BJ45" s="144">
        <f t="shared" si="43"/>
        <v>1</v>
      </c>
      <c r="BK45" s="146">
        <f t="shared" si="44"/>
        <v>0</v>
      </c>
      <c r="BL45" s="170"/>
      <c r="BM45" s="170"/>
      <c r="BN45" s="170"/>
      <c r="BO45" s="170"/>
      <c r="BP45" s="170"/>
      <c r="BQ45" s="170"/>
      <c r="BR45" s="170"/>
    </row>
    <row r="46" spans="1:84" ht="15.95" customHeight="1" thickBot="1" x14ac:dyDescent="0.3">
      <c r="T46" s="248" t="s">
        <v>88</v>
      </c>
      <c r="U46" s="249"/>
      <c r="V46" s="590"/>
      <c r="W46" s="590"/>
      <c r="X46" s="590"/>
      <c r="Y46" s="590"/>
      <c r="Z46" s="590"/>
      <c r="AA46" s="590"/>
      <c r="AB46" s="590"/>
      <c r="AC46" s="590"/>
      <c r="AD46" s="590"/>
      <c r="AE46" s="590"/>
      <c r="AF46" s="590"/>
      <c r="AG46" s="590"/>
      <c r="AH46" s="590"/>
      <c r="AI46" s="590"/>
      <c r="AJ46" s="590"/>
      <c r="AK46" s="590"/>
      <c r="AL46" s="590"/>
      <c r="AM46" s="590"/>
      <c r="AN46" s="590"/>
      <c r="AO46" s="175"/>
      <c r="AP46" s="175"/>
      <c r="AQ46" s="175"/>
      <c r="AR46" s="175"/>
      <c r="AS46" s="175"/>
      <c r="AT46" s="175"/>
      <c r="AU46" s="175"/>
      <c r="AV46" s="175"/>
      <c r="AW46" s="594">
        <f>+BN46</f>
        <v>0</v>
      </c>
      <c r="AX46" s="594"/>
      <c r="AY46" s="594"/>
      <c r="AZ46" s="594"/>
      <c r="BA46" s="594"/>
      <c r="BB46" s="594"/>
      <c r="BC46" s="594"/>
      <c r="BD46" s="594"/>
      <c r="BE46" s="594"/>
      <c r="BF46" s="594"/>
      <c r="BG46" s="595"/>
      <c r="BH46" s="170"/>
      <c r="BI46" s="486">
        <f>+AH40+AQ40+Feb!BE44</f>
        <v>0</v>
      </c>
      <c r="BJ46" s="144">
        <f t="shared" si="43"/>
        <v>1</v>
      </c>
      <c r="BK46" s="146">
        <f t="shared" si="44"/>
        <v>0</v>
      </c>
      <c r="BL46" s="141">
        <f>+BI46-BK46</f>
        <v>0</v>
      </c>
      <c r="BM46" s="141">
        <f>+BL46/100*60</f>
        <v>0</v>
      </c>
      <c r="BN46" s="162">
        <f>+BM46+BK46</f>
        <v>0</v>
      </c>
      <c r="BO46" s="170"/>
      <c r="BP46" s="170"/>
      <c r="BQ46" s="170"/>
      <c r="BR46" s="170"/>
    </row>
    <row r="47" spans="1:84" x14ac:dyDescent="0.25">
      <c r="AW47" s="170"/>
      <c r="AX47" s="170"/>
      <c r="AY47" s="170"/>
      <c r="AZ47" s="170"/>
      <c r="BA47" s="170"/>
      <c r="BB47" s="170"/>
      <c r="BC47" s="170"/>
      <c r="BD47" s="170"/>
      <c r="BE47" s="170"/>
      <c r="BF47" s="170"/>
      <c r="BG47" s="170"/>
      <c r="BH47" s="170"/>
    </row>
  </sheetData>
  <sheetProtection sheet="1" objects="1" scenarios="1"/>
  <mergeCells count="59">
    <mergeCell ref="Q37:T37"/>
    <mergeCell ref="Q38:T38"/>
    <mergeCell ref="Q39:T39"/>
    <mergeCell ref="Q33:T33"/>
    <mergeCell ref="Q34:T34"/>
    <mergeCell ref="Q35:T35"/>
    <mergeCell ref="Q36:T36"/>
    <mergeCell ref="Q28:T28"/>
    <mergeCell ref="Q29:T29"/>
    <mergeCell ref="Q30:T30"/>
    <mergeCell ref="Q31:T31"/>
    <mergeCell ref="Q24:T24"/>
    <mergeCell ref="Q25:T25"/>
    <mergeCell ref="Q26:T26"/>
    <mergeCell ref="Q27:T27"/>
    <mergeCell ref="Q21:T21"/>
    <mergeCell ref="Q22:T22"/>
    <mergeCell ref="Q23:T23"/>
    <mergeCell ref="Q16:T16"/>
    <mergeCell ref="Q17:T17"/>
    <mergeCell ref="Q18:T18"/>
    <mergeCell ref="Q19:T19"/>
    <mergeCell ref="V6:AE6"/>
    <mergeCell ref="V5:AW5"/>
    <mergeCell ref="AW41:BG41"/>
    <mergeCell ref="BG5:BH5"/>
    <mergeCell ref="H5:K5"/>
    <mergeCell ref="L5:P5"/>
    <mergeCell ref="Q32:T32"/>
    <mergeCell ref="Q12:T12"/>
    <mergeCell ref="Q13:T13"/>
    <mergeCell ref="Q14:T14"/>
    <mergeCell ref="Q15:T15"/>
    <mergeCell ref="Q7:T7"/>
    <mergeCell ref="Q9:T9"/>
    <mergeCell ref="Q10:T10"/>
    <mergeCell ref="Q11:T11"/>
    <mergeCell ref="Q20:T20"/>
    <mergeCell ref="T41:AN41"/>
    <mergeCell ref="T42:AN42"/>
    <mergeCell ref="T43:AN43"/>
    <mergeCell ref="AW42:BG42"/>
    <mergeCell ref="H41:L41"/>
    <mergeCell ref="V46:AN46"/>
    <mergeCell ref="AW46:BG46"/>
    <mergeCell ref="AW44:BG44"/>
    <mergeCell ref="T44:AN44"/>
    <mergeCell ref="H1:BH1"/>
    <mergeCell ref="H4:K4"/>
    <mergeCell ref="V3:AW3"/>
    <mergeCell ref="H3:K3"/>
    <mergeCell ref="BG3:BH3"/>
    <mergeCell ref="BG4:BH4"/>
    <mergeCell ref="L3:P3"/>
    <mergeCell ref="L4:T4"/>
    <mergeCell ref="H43:P43"/>
    <mergeCell ref="AW43:BG43"/>
    <mergeCell ref="J40:K40"/>
    <mergeCell ref="Q40:T40"/>
  </mergeCells>
  <phoneticPr fontId="0" type="noConversion"/>
  <conditionalFormatting sqref="H9:H39">
    <cfRule type="expression" dxfId="18" priority="17" stopIfTrue="1">
      <formula>IF(WEEKDAY($I9,2)&gt;5,1,0)</formula>
    </cfRule>
    <cfRule type="expression" dxfId="17" priority="18" stopIfTrue="1">
      <formula>IF($I9=TODAY(),1,0)</formula>
    </cfRule>
  </conditionalFormatting>
  <conditionalFormatting sqref="Q9:T39 BI9:BQ39 J9:K16 J22:K23 J29:K30 J36:K37">
    <cfRule type="expression" dxfId="16" priority="19" stopIfTrue="1">
      <formula>IF(WEEKDAY($B9,2)&lt;6,1,0)</formula>
    </cfRule>
  </conditionalFormatting>
  <conditionalFormatting sqref="BL46:BN46 BK41:BK46 U9:U40 W9:Y39 AA40:AD40 AJ40:AM40 AV13 AO9:AQ39 AS40:AV40 BL41:BN44 AF9:AH39 BU9:CB39 L29:P30 L9:P16 L22:P23 L36:P37 M40:P40">
    <cfRule type="cellIs" dxfId="15" priority="20" stopIfTrue="1" operator="lessThan">
      <formula>0</formula>
    </cfRule>
  </conditionalFormatting>
  <conditionalFormatting sqref="B9:B39 G9:G39">
    <cfRule type="expression" dxfId="14" priority="21" stopIfTrue="1">
      <formula>IF(B9=MAX($B$8:B8),1,0)</formula>
    </cfRule>
  </conditionalFormatting>
  <conditionalFormatting sqref="J17:K21">
    <cfRule type="expression" dxfId="13" priority="15" stopIfTrue="1">
      <formula>IF(WEEKDAY($B17,2)&lt;6,1,0)</formula>
    </cfRule>
  </conditionalFormatting>
  <conditionalFormatting sqref="L17:P21">
    <cfRule type="cellIs" dxfId="12" priority="16" stopIfTrue="1" operator="lessThan">
      <formula>0</formula>
    </cfRule>
  </conditionalFormatting>
  <conditionalFormatting sqref="J24:K28">
    <cfRule type="expression" dxfId="11" priority="13" stopIfTrue="1">
      <formula>IF(WEEKDAY($B24,2)&lt;6,1,0)</formula>
    </cfRule>
  </conditionalFormatting>
  <conditionalFormatting sqref="L24:P28">
    <cfRule type="cellIs" dxfId="10" priority="14" stopIfTrue="1" operator="lessThan">
      <formula>0</formula>
    </cfRule>
  </conditionalFormatting>
  <conditionalFormatting sqref="J31:K31 J35:K35">
    <cfRule type="expression" dxfId="9" priority="11" stopIfTrue="1">
      <formula>IF(WEEKDAY($B31,2)&lt;6,1,0)</formula>
    </cfRule>
  </conditionalFormatting>
  <conditionalFormatting sqref="L31:P31 L35:P35">
    <cfRule type="cellIs" dxfId="8" priority="12" stopIfTrue="1" operator="lessThan">
      <formula>0</formula>
    </cfRule>
  </conditionalFormatting>
  <conditionalFormatting sqref="J32:K33">
    <cfRule type="expression" dxfId="7" priority="7" stopIfTrue="1">
      <formula>IF(WEEKDAY($B32,2)&lt;6,1,0)</formula>
    </cfRule>
  </conditionalFormatting>
  <conditionalFormatting sqref="L32:P33">
    <cfRule type="cellIs" dxfId="6" priority="8" stopIfTrue="1" operator="lessThan">
      <formula>0</formula>
    </cfRule>
  </conditionalFormatting>
  <conditionalFormatting sqref="J34:K34">
    <cfRule type="expression" dxfId="5" priority="5" stopIfTrue="1">
      <formula>IF(WEEKDAY($B34,2)&lt;6,1,0)</formula>
    </cfRule>
  </conditionalFormatting>
  <conditionalFormatting sqref="L34:P34">
    <cfRule type="cellIs" dxfId="4" priority="6" stopIfTrue="1" operator="lessThan">
      <formula>0</formula>
    </cfRule>
  </conditionalFormatting>
  <conditionalFormatting sqref="J38:K38">
    <cfRule type="expression" dxfId="3" priority="3" stopIfTrue="1">
      <formula>IF(WEEKDAY($B38,2)&lt;6,1,0)</formula>
    </cfRule>
  </conditionalFormatting>
  <conditionalFormatting sqref="L38:P38">
    <cfRule type="cellIs" dxfId="2" priority="4" stopIfTrue="1" operator="lessThan">
      <formula>0</formula>
    </cfRule>
  </conditionalFormatting>
  <conditionalFormatting sqref="J39:K39">
    <cfRule type="expression" dxfId="1" priority="1" stopIfTrue="1">
      <formula>IF(WEEKDAY($B39,2)&lt;6,1,0)</formula>
    </cfRule>
  </conditionalFormatting>
  <conditionalFormatting sqref="L39:P39">
    <cfRule type="cellIs" dxfId="0" priority="2" stopIfTrue="1" operator="lessThan">
      <formula>0</formula>
    </cfRule>
  </conditionalFormatting>
  <printOptions horizontalCentered="1" verticalCentered="1"/>
  <pageMargins left="0.59055118110236227" right="0.19685039370078741" top="0.19685039370078741" bottom="0.59055118110236227" header="0.51181102362204722" footer="0.51181102362204722"/>
  <pageSetup paperSize="9" scale="73" orientation="landscape" horizontalDpi="300"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5"/>
  <dimension ref="A1:B5"/>
  <sheetViews>
    <sheetView workbookViewId="0">
      <selection activeCell="I13" sqref="I13"/>
    </sheetView>
  </sheetViews>
  <sheetFormatPr defaultRowHeight="12.75" x14ac:dyDescent="0.2"/>
  <cols>
    <col min="1" max="1" width="16.5703125" customWidth="1"/>
    <col min="2" max="2" width="11.7109375" customWidth="1"/>
  </cols>
  <sheetData>
    <row r="1" spans="1:2" x14ac:dyDescent="0.2">
      <c r="A1" s="64" t="s">
        <v>15</v>
      </c>
      <c r="B1" s="65">
        <v>2013</v>
      </c>
    </row>
    <row r="2" spans="1:2" x14ac:dyDescent="0.2">
      <c r="A2" s="66" t="s">
        <v>16</v>
      </c>
      <c r="B2" s="67">
        <f>DATE(B1,1,1)</f>
        <v>41275</v>
      </c>
    </row>
    <row r="3" spans="1:2" x14ac:dyDescent="0.2">
      <c r="A3" s="66" t="s">
        <v>33</v>
      </c>
      <c r="B3" s="67">
        <f>DATE(B1,12,31)</f>
        <v>41639</v>
      </c>
    </row>
    <row r="4" spans="1:2" ht="13.5" thickBot="1" x14ac:dyDescent="0.25">
      <c r="A4" s="68" t="s">
        <v>32</v>
      </c>
      <c r="B4" s="69">
        <v>12</v>
      </c>
    </row>
    <row r="5" spans="1:2" ht="15.75" x14ac:dyDescent="0.25">
      <c r="B5" s="106"/>
    </row>
  </sheetData>
  <sheetProtection sheet="1" objects="1" scenarios="1"/>
  <phoneticPr fontId="0" type="noConversion"/>
  <pageMargins left="0.75" right="0.75" top="1" bottom="1" header="0.5" footer="0.5"/>
  <pageSetup paperSize="9" orientation="portrait" r:id="rId1"/>
  <headerFooter alignWithMargins="0"/>
  <cellWatches>
    <cellWatch r="B5"/>
  </cellWatche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G54"/>
  <sheetViews>
    <sheetView zoomScale="75" workbookViewId="0">
      <pane ySplit="1" topLeftCell="A2" activePane="bottomLeft" state="frozen"/>
      <selection activeCell="AD15" sqref="AD15"/>
      <selection pane="bottomLeft" activeCell="A36" sqref="A36:B41"/>
    </sheetView>
  </sheetViews>
  <sheetFormatPr defaultRowHeight="12.75" x14ac:dyDescent="0.2"/>
  <cols>
    <col min="1" max="1" width="20.7109375" customWidth="1"/>
    <col min="2" max="2" width="78.28515625" customWidth="1"/>
  </cols>
  <sheetData>
    <row r="1" spans="1:7" ht="27" thickBot="1" x14ac:dyDescent="0.45">
      <c r="A1" s="515" t="str">
        <f>"Tidregistreringsmeddelse for år "&amp;Nøgletal!B1&amp;" "</f>
        <v xml:space="preserve">Tidregistreringsmeddelse for år 2013 </v>
      </c>
      <c r="B1" s="516"/>
    </row>
    <row r="2" spans="1:7" ht="26.25" x14ac:dyDescent="0.4">
      <c r="A2" s="520" t="s">
        <v>45</v>
      </c>
      <c r="B2" s="521"/>
    </row>
    <row r="3" spans="1:7" ht="32.25" customHeight="1" thickBot="1" x14ac:dyDescent="0.25">
      <c r="A3" s="522" t="s">
        <v>82</v>
      </c>
      <c r="B3" s="523"/>
    </row>
    <row r="4" spans="1:7" ht="15.75" thickBot="1" x14ac:dyDescent="0.25">
      <c r="A4" s="43"/>
      <c r="B4" s="44"/>
    </row>
    <row r="5" spans="1:7" ht="26.25" x14ac:dyDescent="0.4">
      <c r="A5" s="520" t="s">
        <v>37</v>
      </c>
      <c r="B5" s="521"/>
    </row>
    <row r="6" spans="1:7" ht="75" x14ac:dyDescent="0.2">
      <c r="A6" s="11" t="s">
        <v>14</v>
      </c>
      <c r="B6" s="7" t="s">
        <v>102</v>
      </c>
    </row>
    <row r="7" spans="1:7" ht="15.75" x14ac:dyDescent="0.2">
      <c r="A7" s="11"/>
      <c r="B7" s="7"/>
    </row>
    <row r="8" spans="1:7" ht="16.5" thickBot="1" x14ac:dyDescent="0.3">
      <c r="A8" s="45"/>
      <c r="B8" s="286" t="s">
        <v>97</v>
      </c>
      <c r="C8" s="1"/>
      <c r="D8" s="1"/>
      <c r="E8" s="1"/>
      <c r="F8" s="1"/>
      <c r="G8" s="1"/>
    </row>
    <row r="9" spans="1:7" ht="15.75" thickBot="1" x14ac:dyDescent="0.25">
      <c r="A9" s="43"/>
      <c r="B9" s="44"/>
      <c r="C9" s="1"/>
      <c r="D9" s="1"/>
      <c r="E9" s="1"/>
      <c r="F9" s="1"/>
      <c r="G9" s="1"/>
    </row>
    <row r="10" spans="1:7" ht="26.25" x14ac:dyDescent="0.2">
      <c r="A10" s="509" t="s">
        <v>39</v>
      </c>
      <c r="B10" s="510"/>
      <c r="C10" s="1"/>
      <c r="D10" s="1"/>
      <c r="E10" s="1"/>
      <c r="F10" s="1"/>
      <c r="G10" s="1"/>
    </row>
    <row r="11" spans="1:7" ht="15.75" x14ac:dyDescent="0.2">
      <c r="A11" s="39" t="s">
        <v>44</v>
      </c>
      <c r="B11" s="12" t="str">
        <f>"Her anføres hvor mange ferietimer der er tilgode pr. 31.12."&amp;Nøgletal!B1-1</f>
        <v>Her anføres hvor mange ferietimer der er tilgode pr. 31.12.2012</v>
      </c>
      <c r="C11" s="1"/>
      <c r="D11" s="1"/>
      <c r="E11" s="1"/>
      <c r="F11" s="1"/>
      <c r="G11" s="1"/>
    </row>
    <row r="12" spans="1:7" ht="21.75" customHeight="1" x14ac:dyDescent="0.2">
      <c r="A12" s="39" t="s">
        <v>50</v>
      </c>
      <c r="B12" s="12" t="str">
        <f>"Her anføres hvor mange 6. ferieugestimer der er tilgode pr. 31.12."&amp;Nøgletal!B1-1</f>
        <v>Her anføres hvor mange 6. ferieugestimer der er tilgode pr. 31.12.2012</v>
      </c>
      <c r="C12" s="1"/>
      <c r="D12" s="1"/>
      <c r="E12" s="1"/>
      <c r="F12" s="1"/>
      <c r="G12" s="1"/>
    </row>
    <row r="13" spans="1:7" ht="45.75" x14ac:dyDescent="0.2">
      <c r="A13" s="39" t="s">
        <v>43</v>
      </c>
      <c r="B13" s="12" t="s">
        <v>98</v>
      </c>
      <c r="C13" s="1"/>
      <c r="D13" s="1"/>
      <c r="E13" s="1"/>
      <c r="F13" s="1"/>
      <c r="G13" s="1"/>
    </row>
    <row r="14" spans="1:7" ht="21.75" customHeight="1" x14ac:dyDescent="0.2">
      <c r="A14" s="39" t="s">
        <v>59</v>
      </c>
      <c r="B14" s="12" t="s">
        <v>60</v>
      </c>
      <c r="C14" s="1"/>
      <c r="D14" s="1"/>
      <c r="E14" s="1"/>
      <c r="F14" s="1"/>
      <c r="G14" s="1"/>
    </row>
    <row r="15" spans="1:7" ht="16.5" thickBot="1" x14ac:dyDescent="0.25">
      <c r="A15" s="13" t="s">
        <v>17</v>
      </c>
      <c r="B15" s="9" t="s">
        <v>111</v>
      </c>
      <c r="C15" s="1"/>
      <c r="D15" s="1"/>
      <c r="E15" s="1"/>
      <c r="F15" s="1"/>
      <c r="G15" s="1"/>
    </row>
    <row r="16" spans="1:7" ht="15.75" thickBot="1" x14ac:dyDescent="0.25">
      <c r="A16" s="43"/>
      <c r="B16" s="44"/>
      <c r="C16" s="1"/>
      <c r="D16" s="1"/>
      <c r="E16" s="1"/>
      <c r="F16" s="1"/>
      <c r="G16" s="1"/>
    </row>
    <row r="17" spans="1:7" ht="26.25" x14ac:dyDescent="0.2">
      <c r="A17" s="509" t="s">
        <v>38</v>
      </c>
      <c r="B17" s="510"/>
      <c r="C17" s="1"/>
      <c r="D17" s="1"/>
      <c r="E17" s="1"/>
      <c r="F17" s="1"/>
      <c r="G17" s="1"/>
    </row>
    <row r="18" spans="1:7" ht="15" x14ac:dyDescent="0.2">
      <c r="A18" s="8"/>
      <c r="B18" s="12"/>
      <c r="C18" s="1"/>
      <c r="D18" s="1"/>
      <c r="E18" s="1"/>
      <c r="F18" s="1"/>
      <c r="G18" s="1"/>
    </row>
    <row r="19" spans="1:7" ht="117.75" customHeight="1" x14ac:dyDescent="0.2">
      <c r="A19" s="11" t="s">
        <v>92</v>
      </c>
      <c r="B19" s="12" t="s">
        <v>108</v>
      </c>
      <c r="C19" s="1"/>
      <c r="D19" s="1"/>
      <c r="E19" s="1"/>
      <c r="F19" s="1"/>
      <c r="G19" s="1"/>
    </row>
    <row r="20" spans="1:7" ht="15.75" x14ac:dyDescent="0.2">
      <c r="A20" s="11"/>
      <c r="B20" s="12"/>
      <c r="C20" s="1"/>
      <c r="D20" s="1"/>
      <c r="E20" s="1"/>
      <c r="F20" s="1"/>
      <c r="G20" s="1"/>
    </row>
    <row r="21" spans="1:7" ht="68.25" customHeight="1" x14ac:dyDescent="0.2">
      <c r="A21" s="39" t="s">
        <v>112</v>
      </c>
      <c r="B21" s="12" t="s">
        <v>113</v>
      </c>
      <c r="C21" s="1"/>
      <c r="D21" s="1"/>
      <c r="E21" s="1"/>
      <c r="F21" s="1"/>
      <c r="G21" s="1"/>
    </row>
    <row r="22" spans="1:7" ht="15.75" x14ac:dyDescent="0.2">
      <c r="A22" s="11"/>
      <c r="B22" s="12"/>
      <c r="C22" s="1"/>
      <c r="D22" s="1"/>
      <c r="E22" s="1"/>
      <c r="F22" s="1"/>
      <c r="G22" s="1"/>
    </row>
    <row r="23" spans="1:7" ht="81.75" customHeight="1" x14ac:dyDescent="0.2">
      <c r="A23" s="39" t="s">
        <v>80</v>
      </c>
      <c r="B23" s="12" t="s">
        <v>109</v>
      </c>
      <c r="C23" s="1"/>
      <c r="D23" s="1"/>
      <c r="E23" s="1"/>
      <c r="F23" s="1"/>
      <c r="G23" s="1"/>
    </row>
    <row r="24" spans="1:7" ht="15.75" x14ac:dyDescent="0.2">
      <c r="A24" s="39"/>
      <c r="B24" s="12"/>
      <c r="C24" s="1"/>
      <c r="D24" s="1"/>
      <c r="E24" s="1"/>
      <c r="F24" s="1"/>
      <c r="G24" s="1"/>
    </row>
    <row r="25" spans="1:7" ht="63" x14ac:dyDescent="0.2">
      <c r="A25" s="39" t="s">
        <v>90</v>
      </c>
      <c r="B25" s="12" t="s">
        <v>100</v>
      </c>
      <c r="C25" s="1"/>
      <c r="D25" s="1"/>
      <c r="E25" s="1"/>
      <c r="F25" s="1"/>
      <c r="G25" s="1"/>
    </row>
    <row r="26" spans="1:7" ht="15.75" x14ac:dyDescent="0.2">
      <c r="A26" s="39"/>
      <c r="B26" s="12"/>
      <c r="C26" s="1"/>
      <c r="D26" s="1"/>
      <c r="E26" s="1"/>
      <c r="F26" s="1"/>
      <c r="G26" s="1"/>
    </row>
    <row r="27" spans="1:7" ht="45" x14ac:dyDescent="0.2">
      <c r="A27" s="39" t="s">
        <v>79</v>
      </c>
      <c r="B27" s="12" t="s">
        <v>81</v>
      </c>
      <c r="C27" s="1"/>
      <c r="D27" s="1"/>
      <c r="E27" s="1"/>
      <c r="F27" s="1"/>
      <c r="G27" s="1"/>
    </row>
    <row r="28" spans="1:7" ht="15.75" x14ac:dyDescent="0.2">
      <c r="A28" s="39"/>
      <c r="B28" s="12"/>
      <c r="C28" s="1"/>
      <c r="D28" s="1"/>
      <c r="E28" s="1"/>
      <c r="F28" s="1"/>
      <c r="G28" s="1"/>
    </row>
    <row r="29" spans="1:7" ht="48.75" customHeight="1" x14ac:dyDescent="0.25">
      <c r="A29" s="11" t="s">
        <v>40</v>
      </c>
      <c r="B29" s="7" t="s">
        <v>101</v>
      </c>
      <c r="C29" s="1"/>
      <c r="D29" s="1"/>
      <c r="E29" s="1"/>
      <c r="F29" s="1"/>
      <c r="G29" s="1"/>
    </row>
    <row r="30" spans="1:7" ht="15" x14ac:dyDescent="0.2">
      <c r="A30" s="8"/>
      <c r="B30" s="7"/>
      <c r="C30" s="1"/>
      <c r="D30" s="1"/>
      <c r="E30" s="1"/>
      <c r="F30" s="1"/>
      <c r="G30" s="1"/>
    </row>
    <row r="31" spans="1:7" ht="28.5" customHeight="1" thickBot="1" x14ac:dyDescent="0.25">
      <c r="A31" s="45" t="s">
        <v>93</v>
      </c>
      <c r="B31" s="9" t="s">
        <v>94</v>
      </c>
      <c r="C31" s="1"/>
      <c r="D31" s="1"/>
      <c r="E31" s="1"/>
      <c r="F31" s="1"/>
      <c r="G31" s="1"/>
    </row>
    <row r="32" spans="1:7" ht="15.75" x14ac:dyDescent="0.2">
      <c r="A32" s="11"/>
      <c r="B32" s="282"/>
      <c r="C32" s="1"/>
      <c r="D32" s="1"/>
      <c r="E32" s="1"/>
      <c r="F32" s="1"/>
      <c r="G32" s="1"/>
    </row>
    <row r="33" spans="1:7" ht="15" x14ac:dyDescent="0.2">
      <c r="A33" s="517"/>
      <c r="B33" s="518"/>
      <c r="C33" s="1"/>
      <c r="D33" s="1"/>
      <c r="E33" s="1"/>
      <c r="F33" s="1"/>
      <c r="G33" s="1"/>
    </row>
    <row r="34" spans="1:7" ht="15" x14ac:dyDescent="0.2">
      <c r="A34" s="519"/>
      <c r="B34" s="519"/>
      <c r="C34" s="1"/>
      <c r="D34" s="1"/>
      <c r="E34" s="1"/>
      <c r="F34" s="1"/>
      <c r="G34" s="1"/>
    </row>
    <row r="35" spans="1:7" ht="18" x14ac:dyDescent="0.2">
      <c r="A35" s="512" t="s">
        <v>117</v>
      </c>
      <c r="B35" s="512"/>
      <c r="C35" s="1"/>
      <c r="D35" s="1"/>
      <c r="E35" s="1"/>
      <c r="F35" s="1"/>
      <c r="G35" s="1"/>
    </row>
    <row r="36" spans="1:7" ht="409.6" customHeight="1" x14ac:dyDescent="0.2">
      <c r="A36" s="513" t="s">
        <v>119</v>
      </c>
      <c r="B36" s="513"/>
      <c r="C36" s="1"/>
      <c r="D36" s="1"/>
      <c r="E36" s="1"/>
      <c r="F36" s="1"/>
      <c r="G36" s="1"/>
    </row>
    <row r="37" spans="1:7" ht="15" x14ac:dyDescent="0.2">
      <c r="A37" s="514"/>
      <c r="B37" s="514"/>
      <c r="C37" s="1"/>
      <c r="D37" s="1"/>
      <c r="E37" s="1"/>
      <c r="F37" s="1"/>
      <c r="G37" s="1"/>
    </row>
    <row r="38" spans="1:7" ht="15" x14ac:dyDescent="0.2">
      <c r="A38" s="514"/>
      <c r="B38" s="514"/>
      <c r="C38" s="1"/>
      <c r="D38" s="1"/>
      <c r="E38" s="1"/>
      <c r="F38" s="1"/>
      <c r="G38" s="1"/>
    </row>
    <row r="39" spans="1:7" ht="15" x14ac:dyDescent="0.2">
      <c r="A39" s="514"/>
      <c r="B39" s="514"/>
      <c r="C39" s="1"/>
      <c r="D39" s="1"/>
      <c r="E39" s="1"/>
      <c r="F39" s="1"/>
      <c r="G39" s="1"/>
    </row>
    <row r="40" spans="1:7" ht="30" customHeight="1" x14ac:dyDescent="0.2">
      <c r="A40" s="514"/>
      <c r="B40" s="514"/>
      <c r="C40" s="1"/>
      <c r="D40" s="1"/>
      <c r="E40" s="1"/>
      <c r="F40" s="1"/>
      <c r="G40" s="1"/>
    </row>
    <row r="41" spans="1:7" ht="29.25" customHeight="1" x14ac:dyDescent="0.2">
      <c r="A41" s="514"/>
      <c r="B41" s="514"/>
      <c r="C41" s="1"/>
      <c r="D41" s="1"/>
      <c r="E41" s="1"/>
      <c r="F41" s="1"/>
      <c r="G41" s="1"/>
    </row>
    <row r="42" spans="1:7" ht="15.75" x14ac:dyDescent="0.2">
      <c r="A42" s="508"/>
      <c r="B42" s="508"/>
      <c r="C42" s="1"/>
      <c r="D42" s="1"/>
      <c r="E42" s="1"/>
      <c r="F42" s="1"/>
      <c r="G42" s="1"/>
    </row>
    <row r="43" spans="1:7" ht="30.75" customHeight="1" x14ac:dyDescent="0.2">
      <c r="A43" s="511"/>
      <c r="B43" s="511"/>
      <c r="C43" s="1"/>
      <c r="D43" s="1"/>
      <c r="E43" s="1"/>
      <c r="F43" s="1"/>
      <c r="G43" s="1"/>
    </row>
    <row r="44" spans="1:7" ht="15" x14ac:dyDescent="0.2">
      <c r="A44" s="511"/>
      <c r="B44" s="511"/>
      <c r="C44" s="1"/>
      <c r="D44" s="1"/>
      <c r="E44" s="1"/>
      <c r="F44" s="1"/>
      <c r="G44" s="1"/>
    </row>
    <row r="45" spans="1:7" ht="15.75" x14ac:dyDescent="0.2">
      <c r="A45" s="508"/>
      <c r="B45" s="508"/>
      <c r="C45" s="1"/>
      <c r="D45" s="1"/>
      <c r="E45" s="1"/>
      <c r="F45" s="1"/>
      <c r="G45" s="1"/>
    </row>
    <row r="46" spans="1:7" ht="15" x14ac:dyDescent="0.2">
      <c r="A46" s="511"/>
      <c r="B46" s="511"/>
      <c r="C46" s="1"/>
      <c r="D46" s="1"/>
      <c r="E46" s="1"/>
      <c r="F46" s="1"/>
      <c r="G46" s="1"/>
    </row>
    <row r="47" spans="1:7" ht="15" x14ac:dyDescent="0.2">
      <c r="A47" s="511"/>
      <c r="B47" s="511"/>
      <c r="C47" s="1"/>
      <c r="D47" s="1"/>
      <c r="E47" s="1"/>
      <c r="F47" s="1"/>
      <c r="G47" s="1"/>
    </row>
    <row r="48" spans="1:7" ht="15.75" x14ac:dyDescent="0.2">
      <c r="A48" s="508"/>
      <c r="B48" s="508"/>
    </row>
    <row r="49" spans="1:2" ht="15" x14ac:dyDescent="0.2">
      <c r="A49" s="511"/>
      <c r="B49" s="511"/>
    </row>
    <row r="50" spans="1:2" ht="15" x14ac:dyDescent="0.2">
      <c r="A50" s="511"/>
      <c r="B50" s="511"/>
    </row>
    <row r="51" spans="1:2" ht="15.75" x14ac:dyDescent="0.2">
      <c r="A51" s="508"/>
      <c r="B51" s="508"/>
    </row>
    <row r="52" spans="1:2" ht="15" x14ac:dyDescent="0.2">
      <c r="A52" s="511"/>
      <c r="B52" s="511"/>
    </row>
    <row r="53" spans="1:2" x14ac:dyDescent="0.2">
      <c r="A53" s="95"/>
      <c r="B53" s="95"/>
    </row>
    <row r="54" spans="1:2" x14ac:dyDescent="0.2">
      <c r="A54" s="95"/>
      <c r="B54" s="95"/>
    </row>
  </sheetData>
  <sheetProtection sheet="1" objects="1" scenarios="1" deleteColumns="0" deleteRows="0"/>
  <mergeCells count="21">
    <mergeCell ref="A10:B10"/>
    <mergeCell ref="A46:B46"/>
    <mergeCell ref="A48:B48"/>
    <mergeCell ref="A36:B41"/>
    <mergeCell ref="A1:B1"/>
    <mergeCell ref="A33:B33"/>
    <mergeCell ref="A34:B34"/>
    <mergeCell ref="A2:B2"/>
    <mergeCell ref="A3:B3"/>
    <mergeCell ref="A5:B5"/>
    <mergeCell ref="A51:B51"/>
    <mergeCell ref="A52:B52"/>
    <mergeCell ref="A42:B42"/>
    <mergeCell ref="A43:B43"/>
    <mergeCell ref="A44:B44"/>
    <mergeCell ref="A49:B49"/>
    <mergeCell ref="A45:B45"/>
    <mergeCell ref="A17:B17"/>
    <mergeCell ref="A47:B47"/>
    <mergeCell ref="A35:B35"/>
    <mergeCell ref="A50:B50"/>
  </mergeCells>
  <phoneticPr fontId="0" type="noConversion"/>
  <printOptions horizontalCentered="1"/>
  <pageMargins left="0.59055118110236227" right="0.39370078740157483" top="0.98425196850393704" bottom="0.98425196850393704" header="0.39370078740157483" footer="0"/>
  <pageSetup paperSize="9" scale="66" orientation="portrait" r:id="rId1"/>
  <headerFooter alignWithMargins="0">
    <oddHeader>&amp;C&amp;"Arial,fed"&amp;14Hjælp til Flexmeddelelsen</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1">
    <pageSetUpPr fitToPage="1"/>
  </sheetPr>
  <dimension ref="A1:BQ48"/>
  <sheetViews>
    <sheetView zoomScale="75" workbookViewId="0">
      <pane xSplit="9" ySplit="8" topLeftCell="J9" activePane="bottomRight" state="frozen"/>
      <selection activeCell="Q7" sqref="Q7:T7"/>
      <selection pane="topRight" activeCell="Q7" sqref="Q7:T7"/>
      <selection pane="bottomLeft" activeCell="Q7" sqref="Q7:T7"/>
      <selection pane="bottomRight" activeCell="K9" sqref="K9"/>
    </sheetView>
  </sheetViews>
  <sheetFormatPr defaultRowHeight="15" x14ac:dyDescent="0.25"/>
  <cols>
    <col min="1" max="1" width="9.42578125" style="288" customWidth="1"/>
    <col min="2" max="2" width="13.7109375" style="288" hidden="1" customWidth="1"/>
    <col min="3" max="3" width="5.28515625" style="288" hidden="1" customWidth="1"/>
    <col min="4" max="6" width="9.85546875" style="288" hidden="1" customWidth="1"/>
    <col min="7" max="7" width="10" style="289" bestFit="1" customWidth="1"/>
    <col min="8" max="8" width="5.42578125" style="288" bestFit="1" customWidth="1"/>
    <col min="9" max="9" width="11.5703125" style="288" hidden="1" customWidth="1"/>
    <col min="10" max="10" width="7.7109375" style="288" customWidth="1"/>
    <col min="11" max="11" width="7" style="288" bestFit="1" customWidth="1"/>
    <col min="12" max="12" width="7.140625" style="288" hidden="1" customWidth="1"/>
    <col min="13" max="13" width="7.5703125" style="288" hidden="1" customWidth="1"/>
    <col min="14" max="14" width="5.28515625" style="288" hidden="1" customWidth="1"/>
    <col min="15" max="15" width="1" style="288" hidden="1" customWidth="1"/>
    <col min="16" max="16" width="7.5703125" style="288" customWidth="1"/>
    <col min="17" max="19" width="6.28515625" style="288" customWidth="1"/>
    <col min="20" max="20" width="4.28515625" style="288" customWidth="1"/>
    <col min="21" max="21" width="17.85546875" style="288" bestFit="1" customWidth="1"/>
    <col min="22" max="29" width="5.28515625" style="288" hidden="1" customWidth="1"/>
    <col min="30" max="30" width="16.140625" style="372" customWidth="1"/>
    <col min="31" max="38" width="5.28515625" style="288" hidden="1" customWidth="1"/>
    <col min="39" max="39" width="9.28515625" style="288" hidden="1" customWidth="1"/>
    <col min="40" max="40" width="26.28515625" style="288" customWidth="1"/>
    <col min="41" max="48" width="5.28515625" style="288" hidden="1" customWidth="1"/>
    <col min="49" max="49" width="7.42578125" style="288" hidden="1" customWidth="1"/>
    <col min="50" max="50" width="0.140625" style="288" customWidth="1"/>
    <col min="51" max="51" width="10.7109375" style="288" customWidth="1"/>
    <col min="52" max="52" width="3.85546875" style="288" customWidth="1"/>
    <col min="53" max="53" width="8.5703125" style="288" hidden="1" customWidth="1"/>
    <col min="54" max="54" width="6" style="288" hidden="1" customWidth="1"/>
    <col min="55" max="55" width="7.5703125" style="288" hidden="1" customWidth="1"/>
    <col min="56" max="57" width="6" style="288" hidden="1" customWidth="1"/>
    <col min="58" max="58" width="7.5703125" style="288" hidden="1" customWidth="1"/>
    <col min="59" max="59" width="9.140625" style="288" hidden="1" customWidth="1"/>
    <col min="60" max="61" width="10" style="291" hidden="1" customWidth="1"/>
    <col min="62" max="64" width="9.85546875" style="291" hidden="1" customWidth="1"/>
    <col min="65" max="65" width="12.140625" style="292" bestFit="1" customWidth="1"/>
    <col min="66" max="66" width="20.42578125" style="288" hidden="1" customWidth="1"/>
    <col min="67" max="67" width="2.28515625" style="288" hidden="1" customWidth="1"/>
    <col min="68" max="68" width="8.42578125" style="288" hidden="1" customWidth="1"/>
    <col min="69" max="69" width="9.140625" style="288" hidden="1" customWidth="1"/>
    <col min="70" max="84" width="0" style="288" hidden="1" customWidth="1"/>
    <col min="85" max="16384" width="9.140625" style="288"/>
  </cols>
  <sheetData>
    <row r="1" spans="1:67" ht="18" x14ac:dyDescent="0.25">
      <c r="H1" s="547" t="s">
        <v>114</v>
      </c>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290"/>
      <c r="BB1" s="290"/>
      <c r="BC1" s="290"/>
      <c r="BD1" s="290"/>
      <c r="BE1" s="290"/>
      <c r="BF1" s="290"/>
    </row>
    <row r="2" spans="1:67" ht="8.1" customHeight="1" x14ac:dyDescent="0.25">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row>
    <row r="3" spans="1:67" ht="15.95" customHeight="1" x14ac:dyDescent="0.25">
      <c r="H3" s="552" t="s">
        <v>5</v>
      </c>
      <c r="I3" s="553"/>
      <c r="J3" s="553"/>
      <c r="K3" s="554"/>
      <c r="L3" s="555" t="str">
        <f>+Resume!H1</f>
        <v>Lars Larsen</v>
      </c>
      <c r="M3" s="556"/>
      <c r="N3" s="556"/>
      <c r="O3" s="556"/>
      <c r="P3" s="556"/>
      <c r="Q3" s="557"/>
      <c r="R3" s="557"/>
      <c r="S3" s="557"/>
      <c r="T3" s="49"/>
      <c r="U3" s="549" t="s">
        <v>7</v>
      </c>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c r="AV3" s="549"/>
      <c r="AW3" s="549"/>
      <c r="AX3" s="558">
        <f>DATE(Nøgletal!B1,1,1)</f>
        <v>41275</v>
      </c>
      <c r="AY3" s="559"/>
      <c r="AZ3" s="560"/>
      <c r="BA3" s="183"/>
      <c r="BB3" s="183"/>
      <c r="BC3" s="183"/>
      <c r="BD3" s="183"/>
      <c r="BE3" s="183"/>
      <c r="BF3" s="183"/>
    </row>
    <row r="4" spans="1:67" ht="15.95" customHeight="1" x14ac:dyDescent="0.25">
      <c r="H4" s="548" t="s">
        <v>6</v>
      </c>
      <c r="I4" s="548"/>
      <c r="J4" s="548"/>
      <c r="K4" s="548"/>
      <c r="L4" s="550" t="str">
        <f>+Resume!H2</f>
        <v>010101-0101</v>
      </c>
      <c r="M4" s="551"/>
      <c r="N4" s="551"/>
      <c r="O4" s="551"/>
      <c r="P4" s="551"/>
      <c r="Q4" s="551"/>
      <c r="R4" s="551"/>
      <c r="S4" s="551"/>
      <c r="T4" s="50"/>
      <c r="U4" s="294" t="s">
        <v>8</v>
      </c>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5"/>
      <c r="AX4" s="561" t="str">
        <f>IF(Resume!I4&lt;&gt;"",Resume!I4,"")</f>
        <v>1 - bagud</v>
      </c>
      <c r="AY4" s="562"/>
      <c r="AZ4" s="563"/>
      <c r="BA4" s="184"/>
      <c r="BB4" s="184"/>
      <c r="BC4" s="184"/>
      <c r="BD4" s="184"/>
      <c r="BE4" s="184"/>
      <c r="BF4" s="184"/>
    </row>
    <row r="5" spans="1:67" ht="15.95" customHeight="1" x14ac:dyDescent="0.25">
      <c r="H5" s="552" t="s">
        <v>9</v>
      </c>
      <c r="I5" s="553"/>
      <c r="J5" s="553"/>
      <c r="K5" s="554"/>
      <c r="L5" s="555" t="str">
        <f>+Resume!H3</f>
        <v>SKAT</v>
      </c>
      <c r="M5" s="556"/>
      <c r="N5" s="556"/>
      <c r="O5" s="556"/>
      <c r="P5" s="556"/>
      <c r="Q5" s="557"/>
      <c r="R5" s="557"/>
      <c r="S5" s="557"/>
      <c r="T5" s="49"/>
      <c r="U5" s="578"/>
      <c r="V5" s="579"/>
      <c r="W5" s="579"/>
      <c r="X5" s="579"/>
      <c r="Y5" s="579"/>
      <c r="Z5" s="579"/>
      <c r="AA5" s="579"/>
      <c r="AB5" s="579"/>
      <c r="AC5" s="579"/>
      <c r="AD5" s="579"/>
      <c r="AE5" s="579"/>
      <c r="AF5" s="579"/>
      <c r="AG5" s="579"/>
      <c r="AH5" s="579"/>
      <c r="AI5" s="579"/>
      <c r="AJ5" s="579"/>
      <c r="AK5" s="579"/>
      <c r="AL5" s="579"/>
      <c r="AM5" s="579"/>
      <c r="AN5" s="579"/>
      <c r="AO5" s="579"/>
      <c r="AP5" s="579"/>
      <c r="AQ5" s="579"/>
      <c r="AR5" s="579"/>
      <c r="AS5" s="579"/>
      <c r="AT5" s="579"/>
      <c r="AU5" s="579"/>
      <c r="AV5" s="579"/>
      <c r="AW5" s="580"/>
      <c r="AX5" s="575"/>
      <c r="AY5" s="576"/>
      <c r="AZ5" s="577"/>
      <c r="BA5" s="296"/>
      <c r="BB5" s="296"/>
      <c r="BC5" s="296"/>
      <c r="BD5" s="296"/>
      <c r="BE5" s="296"/>
      <c r="BF5" s="296"/>
    </row>
    <row r="6" spans="1:67" ht="53.25" customHeight="1" thickBot="1" x14ac:dyDescent="0.3">
      <c r="H6" s="297"/>
      <c r="I6" s="297"/>
      <c r="J6" s="297"/>
      <c r="K6" s="297"/>
      <c r="L6" s="297"/>
      <c r="M6" s="297"/>
      <c r="N6" s="297"/>
      <c r="O6" s="297"/>
      <c r="P6" s="297"/>
      <c r="Q6" s="436"/>
      <c r="R6" s="436"/>
      <c r="S6" s="436"/>
      <c r="T6" s="436"/>
      <c r="U6" s="581" t="s">
        <v>75</v>
      </c>
      <c r="V6" s="581"/>
      <c r="W6" s="581"/>
      <c r="X6" s="581"/>
      <c r="Y6" s="581"/>
      <c r="Z6" s="581"/>
      <c r="AA6" s="581"/>
      <c r="AB6" s="581"/>
      <c r="AC6" s="581"/>
      <c r="AD6" s="581"/>
      <c r="AE6" s="437"/>
      <c r="AF6" s="437"/>
      <c r="AG6" s="437"/>
      <c r="AH6" s="437"/>
      <c r="AI6" s="437"/>
      <c r="AJ6" s="437"/>
      <c r="AK6" s="437"/>
      <c r="AL6" s="437"/>
      <c r="AM6" s="437"/>
      <c r="AN6" s="438" t="s">
        <v>85</v>
      </c>
      <c r="AO6" s="439"/>
      <c r="AP6" s="439"/>
      <c r="AQ6" s="439"/>
      <c r="AR6" s="439"/>
      <c r="AS6" s="439"/>
      <c r="AT6" s="439"/>
      <c r="AU6" s="439"/>
      <c r="AV6" s="439"/>
      <c r="AW6" s="436"/>
      <c r="AX6" s="436"/>
      <c r="AY6" s="436"/>
      <c r="AZ6" s="436"/>
      <c r="BA6" s="298"/>
      <c r="BB6" s="298"/>
      <c r="BC6" s="298"/>
      <c r="BD6" s="298"/>
      <c r="BE6" s="298"/>
      <c r="BF6" s="298"/>
    </row>
    <row r="7" spans="1:67" s="309" customFormat="1" ht="52.5" customHeight="1" thickBot="1" x14ac:dyDescent="0.3">
      <c r="A7" s="299" t="s">
        <v>58</v>
      </c>
      <c r="B7" s="300" t="s">
        <v>18</v>
      </c>
      <c r="C7" s="301"/>
      <c r="D7" s="301"/>
      <c r="E7" s="301"/>
      <c r="F7" s="301"/>
      <c r="G7" s="302" t="s">
        <v>18</v>
      </c>
      <c r="H7" s="303" t="s">
        <v>2</v>
      </c>
      <c r="I7" s="304"/>
      <c r="J7" s="305" t="s">
        <v>3</v>
      </c>
      <c r="K7" s="305" t="s">
        <v>4</v>
      </c>
      <c r="L7" s="306" t="s">
        <v>0</v>
      </c>
      <c r="M7" s="307"/>
      <c r="N7" s="307"/>
      <c r="O7" s="307"/>
      <c r="P7" s="307" t="s">
        <v>69</v>
      </c>
      <c r="Q7" s="586" t="s">
        <v>115</v>
      </c>
      <c r="R7" s="587"/>
      <c r="S7" s="587"/>
      <c r="T7" s="588"/>
      <c r="U7" s="452" t="s">
        <v>116</v>
      </c>
      <c r="V7" s="440"/>
      <c r="W7" s="440"/>
      <c r="X7" s="440"/>
      <c r="Y7" s="440"/>
      <c r="Z7" s="440"/>
      <c r="AA7" s="440"/>
      <c r="AB7" s="440"/>
      <c r="AC7" s="440"/>
      <c r="AD7" s="440" t="s">
        <v>78</v>
      </c>
      <c r="AE7" s="440"/>
      <c r="AF7" s="440"/>
      <c r="AG7" s="440"/>
      <c r="AH7" s="440"/>
      <c r="AI7" s="440"/>
      <c r="AJ7" s="440"/>
      <c r="AK7" s="440"/>
      <c r="AL7" s="440"/>
      <c r="AM7" s="440"/>
      <c r="AN7" s="470" t="s">
        <v>91</v>
      </c>
      <c r="AO7" s="441"/>
      <c r="AP7" s="441"/>
      <c r="AQ7" s="441"/>
      <c r="AR7" s="441"/>
      <c r="AS7" s="441"/>
      <c r="AT7" s="441"/>
      <c r="AU7" s="441"/>
      <c r="AV7" s="441"/>
      <c r="BA7" s="308"/>
      <c r="BB7" s="308"/>
      <c r="BC7" s="308"/>
      <c r="BD7" s="308"/>
      <c r="BE7" s="308"/>
      <c r="BF7" s="308"/>
      <c r="BH7" s="310" t="s">
        <v>61</v>
      </c>
      <c r="BI7" s="311"/>
      <c r="BJ7" s="311"/>
      <c r="BK7" s="311"/>
      <c r="BL7" s="311"/>
      <c r="BM7" s="312" t="s">
        <v>70</v>
      </c>
    </row>
    <row r="8" spans="1:67" ht="0.95" customHeight="1" x14ac:dyDescent="0.25">
      <c r="A8" s="313"/>
      <c r="B8" s="314"/>
      <c r="C8" s="315"/>
      <c r="D8" s="315"/>
      <c r="E8" s="315"/>
      <c r="F8" s="315"/>
      <c r="G8" s="316"/>
      <c r="H8" s="317"/>
      <c r="I8" s="318"/>
      <c r="J8" s="319"/>
      <c r="K8" s="319"/>
      <c r="L8" s="320"/>
      <c r="M8" s="321"/>
      <c r="N8" s="321"/>
      <c r="O8" s="321"/>
      <c r="P8" s="321"/>
      <c r="Q8" s="322"/>
      <c r="R8" s="322"/>
      <c r="S8" s="323"/>
      <c r="T8" s="323"/>
      <c r="U8" s="323"/>
      <c r="V8" s="323"/>
      <c r="W8" s="323"/>
      <c r="X8" s="323"/>
      <c r="Y8" s="323"/>
      <c r="Z8" s="323"/>
      <c r="AA8" s="323"/>
      <c r="AB8" s="323"/>
      <c r="AC8" s="323"/>
      <c r="AD8" s="323"/>
      <c r="AE8" s="323"/>
      <c r="AF8" s="323"/>
      <c r="AG8" s="323"/>
      <c r="AH8" s="323"/>
      <c r="AI8" s="323"/>
      <c r="AJ8" s="323"/>
      <c r="AK8" s="323"/>
      <c r="AL8" s="323"/>
      <c r="AM8" s="323"/>
      <c r="AN8" s="471"/>
      <c r="AO8" s="324"/>
      <c r="AP8" s="324"/>
      <c r="AQ8" s="324"/>
      <c r="AR8" s="324"/>
      <c r="AS8" s="324"/>
      <c r="AT8" s="324"/>
      <c r="AU8" s="324"/>
      <c r="AV8" s="324"/>
      <c r="BA8" s="325"/>
      <c r="BB8" s="325"/>
      <c r="BC8" s="325"/>
      <c r="BD8" s="325"/>
      <c r="BE8" s="325"/>
      <c r="BF8" s="325"/>
      <c r="BH8" s="326"/>
      <c r="BI8" s="327"/>
      <c r="BJ8" s="327"/>
      <c r="BK8" s="327"/>
      <c r="BL8" s="327"/>
      <c r="BM8" s="328"/>
    </row>
    <row r="9" spans="1:67" ht="15.95" customHeight="1" x14ac:dyDescent="0.25">
      <c r="A9" s="329" t="s">
        <v>62</v>
      </c>
      <c r="B9" s="342">
        <f>IF($I9&lt;&gt;"",IF(WEEKDAY($I9,2)&lt;6,IF(VLOOKUP(WEEKDAY($I9,2),InputUge,3)&gt;0,IF($A9="",VLOOKUP(WEEKDAY($I9,2),InputUge,3)+MAX(B$8:B8),IF($A9&lt;VLOOKUP(WEEKDAY($I9,2),InputUge,3),$A9+MAX(B$8:B8),VLOOKUP(WEEKDAY($I9,2),InputUge,3)+MAX(B$8:B8))),""),""),"")</f>
        <v>7.0666666666666664</v>
      </c>
      <c r="C9" s="330">
        <f>IF(B9&lt;0,-1,1)</f>
        <v>1</v>
      </c>
      <c r="D9" s="331">
        <f>FLOOR(B9,C9)</f>
        <v>7</v>
      </c>
      <c r="E9" s="331">
        <f>+B9-D9</f>
        <v>6.666666666666643E-2</v>
      </c>
      <c r="F9" s="331">
        <f>+E9/100*60</f>
        <v>3.9999999999999855E-2</v>
      </c>
      <c r="G9" s="261">
        <f>+F9+D9</f>
        <v>7.04</v>
      </c>
      <c r="H9" s="332">
        <v>1</v>
      </c>
      <c r="I9" s="333">
        <f>+Nøgletal!B2</f>
        <v>41275</v>
      </c>
      <c r="J9" s="6">
        <v>0.34791666666666665</v>
      </c>
      <c r="K9" s="6">
        <v>0.64236111111111105</v>
      </c>
      <c r="L9" s="334">
        <f t="shared" ref="L9:L19" si="0">IF(K9&gt;0,ROUND(((K9-J9)*24)-SUM(BS9:BT9)+BU9,2)+IF(Fredagsfrokost="n",IF(WEEKDAY($I9,2)=5,IF(K9&gt;=0.5,IF(K9&lt;=13/24,0,0),0),0),0),IF(AX9&gt;0,AX9,""))</f>
        <v>7.07</v>
      </c>
      <c r="M9" s="335">
        <f t="shared" ref="M9:M19" si="1">FLOOR(L9,1)</f>
        <v>7</v>
      </c>
      <c r="N9" s="335">
        <f t="shared" ref="N9:N19" si="2">+L9-M9</f>
        <v>7.0000000000000284E-2</v>
      </c>
      <c r="O9" s="335">
        <f t="shared" ref="O9:O19" si="3">+N9/100*60</f>
        <v>4.2000000000000169E-2</v>
      </c>
      <c r="P9" s="336">
        <f t="shared" ref="P9:P19" si="4">IF(J9="","",O9+M9)</f>
        <v>7.0419999999999998</v>
      </c>
      <c r="Q9" s="569"/>
      <c r="R9" s="570"/>
      <c r="S9" s="570"/>
      <c r="T9" s="571"/>
      <c r="U9" s="256"/>
      <c r="V9" s="241"/>
      <c r="W9" s="241"/>
      <c r="X9" s="241"/>
      <c r="Y9" s="275"/>
      <c r="Z9" s="257"/>
      <c r="AA9" s="257"/>
      <c r="AB9" s="257"/>
      <c r="AC9" s="257"/>
      <c r="AD9" s="257"/>
      <c r="AE9" s="240"/>
      <c r="AF9" s="240"/>
      <c r="AG9" s="240"/>
      <c r="AH9" s="242"/>
      <c r="AI9" s="128"/>
      <c r="AJ9" s="128"/>
      <c r="AK9" s="128"/>
      <c r="AL9" s="128"/>
      <c r="AM9" s="128"/>
      <c r="AN9" s="462"/>
      <c r="AO9" s="240">
        <f t="shared" ref="AO9:AO23" si="5">FLOOR(AN9,1)</f>
        <v>0</v>
      </c>
      <c r="AP9" s="240">
        <f t="shared" ref="AP9:AP39" si="6">+AN9-AO9</f>
        <v>0</v>
      </c>
      <c r="AQ9" s="240">
        <f t="shared" ref="AQ9:AQ23" si="7">+AP9/60*100</f>
        <v>0</v>
      </c>
      <c r="AR9" s="242">
        <f>+AQ9+AO9</f>
        <v>0</v>
      </c>
      <c r="AS9" s="245"/>
      <c r="AT9" s="245"/>
      <c r="AU9" s="245"/>
      <c r="AV9" s="180"/>
      <c r="BA9" s="338"/>
      <c r="BB9" s="338"/>
      <c r="BC9" s="338"/>
      <c r="BD9" s="338"/>
      <c r="BE9" s="338"/>
      <c r="BF9" s="338"/>
      <c r="BH9" s="339">
        <f>IF($K9&gt;=0,+SUM(L$9:$L9)-$B9+Jan!$BA$41+SUM(AR$9:$AR9)," ")+0.003</f>
        <v>6.3333333333338545E-3</v>
      </c>
      <c r="BI9" s="330">
        <f>IF(BH9&lt;0,-1,1)</f>
        <v>1</v>
      </c>
      <c r="BJ9" s="331">
        <f>FLOOR(BH9,BI9)</f>
        <v>0</v>
      </c>
      <c r="BK9" s="331">
        <f>+BH9-BJ9</f>
        <v>6.3333333333338545E-3</v>
      </c>
      <c r="BL9" s="331">
        <f>+BK9/100*60</f>
        <v>3.8000000000003131E-3</v>
      </c>
      <c r="BM9" s="337">
        <f t="shared" ref="BM9:BM39" si="8">IF(BO9=2,BJ9+BL9,"")</f>
        <v>3.8000000000003131E-3</v>
      </c>
      <c r="BN9" s="340">
        <f>+P9</f>
        <v>7.0419999999999998</v>
      </c>
      <c r="BO9" s="288">
        <f>+IF(BN9="",1,2)</f>
        <v>2</v>
      </c>
    </row>
    <row r="10" spans="1:67" ht="15.95" customHeight="1" x14ac:dyDescent="0.25">
      <c r="A10" s="329"/>
      <c r="B10" s="342">
        <f>IF($I10&lt;&gt;"",IF(WEEKDAY($I10,2)&lt;6,IF(VLOOKUP(WEEKDAY($I10,2),InputUge,3)&gt;0,IF($A10="",VLOOKUP(WEEKDAY($I10,2),InputUge,3)+MAX(B$8:B9),IF($A10&lt;VLOOKUP(WEEKDAY($I10,2),InputUge,3),$A10+MAX(B$8:B9),VLOOKUP(WEEKDAY($I10,2),InputUge,3)+MAX(B$8:B9))),""),""),"")</f>
        <v>14.133333333333333</v>
      </c>
      <c r="C10" s="330">
        <f t="shared" ref="C10:C39" si="9">IF(B10&lt;0,-1,1)</f>
        <v>1</v>
      </c>
      <c r="D10" s="331">
        <f t="shared" ref="D10:D38" si="10">FLOOR(B10,C10)</f>
        <v>14</v>
      </c>
      <c r="E10" s="331">
        <f t="shared" ref="E10:E38" si="11">+B10-D10</f>
        <v>0.13333333333333286</v>
      </c>
      <c r="F10" s="331">
        <f t="shared" ref="F10:F39" si="12">+E10/100*60</f>
        <v>7.999999999999971E-2</v>
      </c>
      <c r="G10" s="261">
        <f>+F10+D10</f>
        <v>14.08</v>
      </c>
      <c r="H10" s="332">
        <v>2</v>
      </c>
      <c r="I10" s="344">
        <f t="shared" ref="I10:I39" si="13">+I9+1</f>
        <v>41276</v>
      </c>
      <c r="J10" s="6">
        <v>0.34826388888888887</v>
      </c>
      <c r="K10" s="6">
        <v>0.64236111111111105</v>
      </c>
      <c r="L10" s="334">
        <f t="shared" si="0"/>
        <v>7.06</v>
      </c>
      <c r="M10" s="335">
        <f t="shared" si="1"/>
        <v>7</v>
      </c>
      <c r="N10" s="335">
        <f t="shared" si="2"/>
        <v>5.9999999999999609E-2</v>
      </c>
      <c r="O10" s="335">
        <f t="shared" si="3"/>
        <v>3.5999999999999761E-2</v>
      </c>
      <c r="P10" s="336">
        <f t="shared" si="4"/>
        <v>7.0359999999999996</v>
      </c>
      <c r="Q10" s="569"/>
      <c r="R10" s="570"/>
      <c r="S10" s="570"/>
      <c r="T10" s="571"/>
      <c r="U10" s="257"/>
      <c r="V10" s="241"/>
      <c r="W10" s="241"/>
      <c r="X10" s="241"/>
      <c r="Y10" s="275"/>
      <c r="Z10" s="257"/>
      <c r="AA10" s="257"/>
      <c r="AB10" s="257"/>
      <c r="AC10" s="257"/>
      <c r="AD10" s="257"/>
      <c r="AE10" s="240"/>
      <c r="AF10" s="240"/>
      <c r="AG10" s="240"/>
      <c r="AH10" s="242"/>
      <c r="AI10" s="128"/>
      <c r="AJ10" s="128"/>
      <c r="AK10" s="128"/>
      <c r="AL10" s="128"/>
      <c r="AM10" s="128"/>
      <c r="AN10" s="462"/>
      <c r="AO10" s="240">
        <f t="shared" si="5"/>
        <v>0</v>
      </c>
      <c r="AP10" s="240">
        <f t="shared" si="6"/>
        <v>0</v>
      </c>
      <c r="AQ10" s="240">
        <f t="shared" si="7"/>
        <v>0</v>
      </c>
      <c r="AR10" s="242">
        <f t="shared" ref="AR10:AR39" si="14">+AQ10+AO10</f>
        <v>0</v>
      </c>
      <c r="AS10" s="245"/>
      <c r="AT10" s="245"/>
      <c r="AU10" s="245"/>
      <c r="AV10" s="180"/>
      <c r="BA10" s="338"/>
      <c r="BB10" s="338"/>
      <c r="BC10" s="338"/>
      <c r="BD10" s="338"/>
      <c r="BE10" s="338"/>
      <c r="BF10" s="338"/>
      <c r="BH10" s="339">
        <f>IF($K10&gt;=0,+SUM(L$9:$L10)-$B10+Jan!$BA$41+SUM(AR$9:$AR10)," ")</f>
        <v>-3.3333333333338544E-3</v>
      </c>
      <c r="BI10" s="330">
        <f>IF(BH10&lt;0,-1,1)</f>
        <v>-1</v>
      </c>
      <c r="BJ10" s="331">
        <f>FLOOR(BH10,BI10)</f>
        <v>0</v>
      </c>
      <c r="BK10" s="331">
        <f>+BH10-BJ10</f>
        <v>-3.3333333333338544E-3</v>
      </c>
      <c r="BL10" s="331">
        <f>+BK10/100*60</f>
        <v>-2.0000000000003127E-3</v>
      </c>
      <c r="BM10" s="337">
        <f t="shared" si="8"/>
        <v>-2.0000000000003127E-3</v>
      </c>
      <c r="BN10" s="340">
        <f>+P10</f>
        <v>7.0359999999999996</v>
      </c>
      <c r="BO10" s="288">
        <f>+IF(BN10="",1,2)</f>
        <v>2</v>
      </c>
    </row>
    <row r="11" spans="1:67" ht="15.95" customHeight="1" x14ac:dyDescent="0.25">
      <c r="A11" s="341"/>
      <c r="B11" s="342">
        <f>IF($I11&lt;&gt;"",IF(WEEKDAY($I11,2)&lt;6,IF(VLOOKUP(WEEKDAY($I11,2),InputUge,3)&gt;0,IF($A11="",VLOOKUP(WEEKDAY($I11,2),InputUge,3)+MAX(B$8:B10),IF($A11&lt;VLOOKUP(WEEKDAY($I11,2),InputUge,3),$A11+MAX(B$8:B10),VLOOKUP(WEEKDAY($I11,2),InputUge,3)+MAX(B$8:B10))),""),""),"")</f>
        <v>23.543333333333333</v>
      </c>
      <c r="C11" s="330">
        <f t="shared" si="9"/>
        <v>1</v>
      </c>
      <c r="D11" s="331">
        <f t="shared" si="10"/>
        <v>23</v>
      </c>
      <c r="E11" s="331">
        <f t="shared" si="11"/>
        <v>0.543333333333333</v>
      </c>
      <c r="F11" s="331">
        <f t="shared" si="12"/>
        <v>0.32599999999999979</v>
      </c>
      <c r="G11" s="261">
        <f>+F11+D11</f>
        <v>23.326000000000001</v>
      </c>
      <c r="H11" s="463">
        <v>3</v>
      </c>
      <c r="I11" s="344">
        <f t="shared" si="13"/>
        <v>41277</v>
      </c>
      <c r="J11" s="6">
        <v>0.34791666666666665</v>
      </c>
      <c r="K11" s="6">
        <v>0.73987268518518512</v>
      </c>
      <c r="L11" s="334">
        <f t="shared" si="0"/>
        <v>9.41</v>
      </c>
      <c r="M11" s="335">
        <f t="shared" si="1"/>
        <v>9</v>
      </c>
      <c r="N11" s="335">
        <f t="shared" si="2"/>
        <v>0.41000000000000014</v>
      </c>
      <c r="O11" s="335">
        <f t="shared" si="3"/>
        <v>0.24600000000000008</v>
      </c>
      <c r="P11" s="336">
        <f t="shared" si="4"/>
        <v>9.2460000000000004</v>
      </c>
      <c r="Q11" s="569"/>
      <c r="R11" s="570"/>
      <c r="S11" s="570"/>
      <c r="T11" s="571"/>
      <c r="U11" s="257"/>
      <c r="V11" s="241">
        <f t="shared" ref="V11:V39" si="15">FLOOR(U11,1)</f>
        <v>0</v>
      </c>
      <c r="W11" s="241">
        <f>+U11-V11</f>
        <v>0</v>
      </c>
      <c r="X11" s="241">
        <f t="shared" ref="X11:X39" si="16">+W11/60*100</f>
        <v>0</v>
      </c>
      <c r="Y11" s="275">
        <f>+X11+V11</f>
        <v>0</v>
      </c>
      <c r="Z11" s="257"/>
      <c r="AA11" s="257"/>
      <c r="AB11" s="257"/>
      <c r="AC11" s="257"/>
      <c r="AD11" s="257"/>
      <c r="AE11" s="240">
        <f t="shared" ref="AE11:AE28" si="17">FLOOR(AD11,1)</f>
        <v>0</v>
      </c>
      <c r="AF11" s="240">
        <f>+AD11-AE11</f>
        <v>0</v>
      </c>
      <c r="AG11" s="240">
        <f t="shared" ref="AG11:AG28" si="18">+AF11/60*100</f>
        <v>0</v>
      </c>
      <c r="AH11" s="242">
        <f>+AG11+AE11</f>
        <v>0</v>
      </c>
      <c r="AI11" s="122"/>
      <c r="AJ11" s="122"/>
      <c r="AK11" s="122"/>
      <c r="AL11" s="122"/>
      <c r="AM11" s="122"/>
      <c r="AN11" s="462"/>
      <c r="AO11" s="240">
        <f t="shared" si="5"/>
        <v>0</v>
      </c>
      <c r="AP11" s="240">
        <f t="shared" si="6"/>
        <v>0</v>
      </c>
      <c r="AQ11" s="240">
        <f t="shared" si="7"/>
        <v>0</v>
      </c>
      <c r="AR11" s="242">
        <f t="shared" si="14"/>
        <v>0</v>
      </c>
      <c r="AS11" s="245"/>
      <c r="AT11" s="245"/>
      <c r="AU11" s="245"/>
      <c r="AV11" s="181"/>
      <c r="BA11" s="345"/>
      <c r="BB11" s="345"/>
      <c r="BC11" s="345"/>
      <c r="BD11" s="345"/>
      <c r="BE11" s="345"/>
      <c r="BF11" s="345"/>
      <c r="BH11" s="339">
        <f>IF($K11&gt;=0,+SUM(L$9:$L11)-$B11+Jan!$BA$41+SUM(AR$9:$AR11)," ")</f>
        <v>-3.3333333333338544E-3</v>
      </c>
      <c r="BI11" s="330">
        <f>IF(BH11&lt;0,-1,1)</f>
        <v>-1</v>
      </c>
      <c r="BJ11" s="331">
        <f>FLOOR(BH11,BI11)</f>
        <v>0</v>
      </c>
      <c r="BK11" s="331">
        <f>+BH11-BJ11</f>
        <v>-3.3333333333338544E-3</v>
      </c>
      <c r="BL11" s="331">
        <f>+BK11/100*60</f>
        <v>-2.0000000000003127E-3</v>
      </c>
      <c r="BM11" s="337">
        <f t="shared" si="8"/>
        <v>-2.0000000000003127E-3</v>
      </c>
      <c r="BN11" s="340">
        <f>+P11</f>
        <v>9.2460000000000004</v>
      </c>
      <c r="BO11" s="288">
        <f t="shared" ref="BO11:BO39" si="19">+IF(BN11="",1,2)</f>
        <v>2</v>
      </c>
    </row>
    <row r="12" spans="1:67" ht="15.95" customHeight="1" x14ac:dyDescent="0.25">
      <c r="A12" s="341"/>
      <c r="B12" s="342">
        <f>IF($I12&lt;&gt;"",IF(WEEKDAY($I12,2)&lt;6,IF(VLOOKUP(WEEKDAY($I12,2),InputUge,3)&gt;0,IF($A12="",VLOOKUP(WEEKDAY($I12,2),InputUge,3)+MAX(B$8:B11),IF($A12&lt;VLOOKUP(WEEKDAY($I12,2),InputUge,3),$A12+MAX(B$8:B11),VLOOKUP(WEEKDAY($I12,2),InputUge,3)+MAX(B$8:B11))),""),""),"")</f>
        <v>29.943333333333335</v>
      </c>
      <c r="C12" s="330">
        <f t="shared" si="9"/>
        <v>1</v>
      </c>
      <c r="D12" s="331">
        <f t="shared" si="10"/>
        <v>29</v>
      </c>
      <c r="E12" s="331">
        <f t="shared" si="11"/>
        <v>0.94333333333333513</v>
      </c>
      <c r="F12" s="331">
        <f t="shared" si="12"/>
        <v>0.56600000000000106</v>
      </c>
      <c r="G12" s="261">
        <f>+F12+D12</f>
        <v>29.566000000000003</v>
      </c>
      <c r="H12" s="343">
        <v>4</v>
      </c>
      <c r="I12" s="344">
        <f t="shared" si="13"/>
        <v>41278</v>
      </c>
      <c r="J12" s="6">
        <v>0.34791666666666665</v>
      </c>
      <c r="K12" s="6">
        <v>0.61458333333333337</v>
      </c>
      <c r="L12" s="334">
        <f t="shared" si="0"/>
        <v>6.4</v>
      </c>
      <c r="M12" s="335">
        <f t="shared" si="1"/>
        <v>6</v>
      </c>
      <c r="N12" s="335">
        <f t="shared" si="2"/>
        <v>0.40000000000000036</v>
      </c>
      <c r="O12" s="335">
        <f t="shared" si="3"/>
        <v>0.24000000000000021</v>
      </c>
      <c r="P12" s="336">
        <f t="shared" si="4"/>
        <v>6.24</v>
      </c>
      <c r="Q12" s="569"/>
      <c r="R12" s="570"/>
      <c r="S12" s="570"/>
      <c r="T12" s="571"/>
      <c r="U12" s="257"/>
      <c r="V12" s="241">
        <f t="shared" si="15"/>
        <v>0</v>
      </c>
      <c r="W12" s="241">
        <f>+U12-V12</f>
        <v>0</v>
      </c>
      <c r="X12" s="241">
        <f t="shared" si="16"/>
        <v>0</v>
      </c>
      <c r="Y12" s="275">
        <f>+X12+V12</f>
        <v>0</v>
      </c>
      <c r="Z12" s="257"/>
      <c r="AA12" s="257"/>
      <c r="AB12" s="257"/>
      <c r="AC12" s="257"/>
      <c r="AD12" s="257"/>
      <c r="AE12" s="240">
        <f t="shared" si="17"/>
        <v>0</v>
      </c>
      <c r="AF12" s="240">
        <f t="shared" ref="AF12:AF28" si="20">+AD12-AE12</f>
        <v>0</v>
      </c>
      <c r="AG12" s="240">
        <f t="shared" si="18"/>
        <v>0</v>
      </c>
      <c r="AH12" s="242">
        <f t="shared" ref="AH12:AH28" si="21">+AG12+AE12</f>
        <v>0</v>
      </c>
      <c r="AI12" s="122"/>
      <c r="AJ12" s="122"/>
      <c r="AK12" s="122"/>
      <c r="AL12" s="122"/>
      <c r="AM12" s="122"/>
      <c r="AN12" s="478"/>
      <c r="AO12" s="240">
        <f t="shared" si="5"/>
        <v>0</v>
      </c>
      <c r="AP12" s="240">
        <f t="shared" si="6"/>
        <v>0</v>
      </c>
      <c r="AQ12" s="240">
        <f t="shared" si="7"/>
        <v>0</v>
      </c>
      <c r="AR12" s="242">
        <f t="shared" si="14"/>
        <v>0</v>
      </c>
      <c r="AS12" s="245"/>
      <c r="AT12" s="245"/>
      <c r="AU12" s="245"/>
      <c r="AV12" s="181"/>
      <c r="BA12" s="345"/>
      <c r="BB12" s="345"/>
      <c r="BC12" s="345"/>
      <c r="BD12" s="345"/>
      <c r="BE12" s="345"/>
      <c r="BF12" s="345"/>
      <c r="BH12" s="339">
        <f>IF($K12&gt;=0,+SUM(L$9:$L12)-$B12+Jan!$BA$41+SUM(AR$9:$AR12)," ")</f>
        <v>-3.3333333333374071E-3</v>
      </c>
      <c r="BI12" s="330">
        <f t="shared" ref="BI12:BI17" si="22">IF(BH12&lt;0,-1,1)</f>
        <v>-1</v>
      </c>
      <c r="BJ12" s="331">
        <f t="shared" ref="BJ12:BJ18" si="23">FLOOR(BH12,BI12)</f>
        <v>0</v>
      </c>
      <c r="BK12" s="331">
        <f t="shared" ref="BK12:BK18" si="24">+BH12-BJ12</f>
        <v>-3.3333333333374071E-3</v>
      </c>
      <c r="BL12" s="331">
        <f t="shared" ref="BL12:BL17" si="25">+BK12/100*60</f>
        <v>-2.0000000000024443E-3</v>
      </c>
      <c r="BM12" s="337">
        <f t="shared" si="8"/>
        <v>-2.0000000000024443E-3</v>
      </c>
      <c r="BN12" s="340">
        <f t="shared" ref="BN12:BN38" si="26">+P12</f>
        <v>6.24</v>
      </c>
      <c r="BO12" s="288">
        <f t="shared" si="19"/>
        <v>2</v>
      </c>
    </row>
    <row r="13" spans="1:67" ht="15.95" customHeight="1" x14ac:dyDescent="0.25">
      <c r="A13" s="341"/>
      <c r="B13" s="342" t="str">
        <f>IF($I13&lt;&gt;"",IF(WEEKDAY($I13,2)&lt;6,IF(VLOOKUP(WEEKDAY($I13,2),InputUge,3)&gt;0,IF($A13="",VLOOKUP(WEEKDAY($I13,2),InputUge,3)+MAX(B$8:B12),IF($A13&lt;VLOOKUP(WEEKDAY($I13,2),InputUge,3),$A13+MAX(B$8:B12),VLOOKUP(WEEKDAY($I13,2),InputUge,3)+MAX(B$8:B12))),""),""),"")</f>
        <v/>
      </c>
      <c r="C13" s="330">
        <f>IF(B13&lt;0,-1,1)</f>
        <v>1</v>
      </c>
      <c r="D13" s="331" t="e">
        <f>FLOOR(B13,C13)</f>
        <v>#VALUE!</v>
      </c>
      <c r="E13" s="331" t="e">
        <f>+B13-D13</f>
        <v>#VALUE!</v>
      </c>
      <c r="F13" s="331" t="e">
        <f>+E13/100*60</f>
        <v>#VALUE!</v>
      </c>
      <c r="G13" s="261"/>
      <c r="H13" s="343">
        <v>5</v>
      </c>
      <c r="I13" s="344">
        <f t="shared" si="13"/>
        <v>41279</v>
      </c>
      <c r="J13" s="6"/>
      <c r="K13" s="6"/>
      <c r="L13" s="334" t="str">
        <f t="shared" si="0"/>
        <v/>
      </c>
      <c r="M13" s="335" t="e">
        <f t="shared" si="1"/>
        <v>#VALUE!</v>
      </c>
      <c r="N13" s="335" t="e">
        <f t="shared" si="2"/>
        <v>#VALUE!</v>
      </c>
      <c r="O13" s="335" t="e">
        <f t="shared" si="3"/>
        <v>#VALUE!</v>
      </c>
      <c r="P13" s="336" t="str">
        <f t="shared" si="4"/>
        <v/>
      </c>
      <c r="Q13" s="569"/>
      <c r="R13" s="570"/>
      <c r="S13" s="570"/>
      <c r="T13" s="571"/>
      <c r="U13" s="257"/>
      <c r="V13" s="241">
        <f>FLOOR(U13,1)</f>
        <v>0</v>
      </c>
      <c r="W13" s="241">
        <f>+U13-V13</f>
        <v>0</v>
      </c>
      <c r="X13" s="241">
        <f>+W13/60*100</f>
        <v>0</v>
      </c>
      <c r="Y13" s="275">
        <f>+X13+V13</f>
        <v>0</v>
      </c>
      <c r="Z13" s="257"/>
      <c r="AA13" s="257"/>
      <c r="AB13" s="257"/>
      <c r="AC13" s="257"/>
      <c r="AD13" s="257"/>
      <c r="AE13" s="240">
        <f t="shared" si="17"/>
        <v>0</v>
      </c>
      <c r="AF13" s="240">
        <f t="shared" si="20"/>
        <v>0</v>
      </c>
      <c r="AG13" s="240">
        <f t="shared" si="18"/>
        <v>0</v>
      </c>
      <c r="AH13" s="242">
        <f t="shared" si="21"/>
        <v>0</v>
      </c>
      <c r="AI13" s="122"/>
      <c r="AJ13" s="122"/>
      <c r="AK13" s="122"/>
      <c r="AL13" s="122"/>
      <c r="AM13" s="122"/>
      <c r="AN13" s="478"/>
      <c r="AO13" s="240">
        <f t="shared" si="5"/>
        <v>0</v>
      </c>
      <c r="AP13" s="240">
        <f t="shared" si="6"/>
        <v>0</v>
      </c>
      <c r="AQ13" s="240">
        <f t="shared" si="7"/>
        <v>0</v>
      </c>
      <c r="AR13" s="242">
        <f t="shared" si="14"/>
        <v>0</v>
      </c>
      <c r="AS13" s="245"/>
      <c r="AT13" s="245"/>
      <c r="AU13" s="245"/>
      <c r="AV13" s="241"/>
      <c r="BA13" s="345"/>
      <c r="BB13" s="345"/>
      <c r="BC13" s="345"/>
      <c r="BD13" s="345"/>
      <c r="BE13" s="345"/>
      <c r="BF13" s="345"/>
      <c r="BH13" s="339" t="e">
        <f>IF($K13&gt;=0,+SUM(L$9:$L13)-$B13+Jan!$BA$41+SUM(AR$9:$AR13)," ")</f>
        <v>#VALUE!</v>
      </c>
      <c r="BI13" s="330" t="e">
        <f t="shared" si="22"/>
        <v>#VALUE!</v>
      </c>
      <c r="BJ13" s="331" t="e">
        <f t="shared" si="23"/>
        <v>#VALUE!</v>
      </c>
      <c r="BK13" s="331" t="e">
        <f t="shared" si="24"/>
        <v>#VALUE!</v>
      </c>
      <c r="BL13" s="331" t="e">
        <f t="shared" si="25"/>
        <v>#VALUE!</v>
      </c>
      <c r="BM13" s="337" t="str">
        <f t="shared" si="8"/>
        <v/>
      </c>
      <c r="BN13" s="340" t="str">
        <f t="shared" si="26"/>
        <v/>
      </c>
      <c r="BO13" s="288">
        <f t="shared" si="19"/>
        <v>1</v>
      </c>
    </row>
    <row r="14" spans="1:67" ht="15.95" customHeight="1" x14ac:dyDescent="0.25">
      <c r="A14" s="341"/>
      <c r="B14" s="342" t="str">
        <f>IF($I14&lt;&gt;"",IF(WEEKDAY($I14,2)&lt;6,IF(VLOOKUP(WEEKDAY($I14,2),InputUge,3)&gt;0,IF($A14="",VLOOKUP(WEEKDAY($I14,2),InputUge,3)+MAX(B$8:B13),IF($A14&lt;VLOOKUP(WEEKDAY($I14,2),InputUge,3),$A14+MAX(B$8:B13),VLOOKUP(WEEKDAY($I14,2),InputUge,3)+MAX(B$8:B13))),""),""),"")</f>
        <v/>
      </c>
      <c r="C14" s="330">
        <f>IF(B14&lt;0,-1,1)</f>
        <v>1</v>
      </c>
      <c r="D14" s="331" t="e">
        <f>FLOOR(B14,C14)</f>
        <v>#VALUE!</v>
      </c>
      <c r="E14" s="331" t="e">
        <f>+B14-D14</f>
        <v>#VALUE!</v>
      </c>
      <c r="F14" s="331" t="e">
        <f>+E14/100*60</f>
        <v>#VALUE!</v>
      </c>
      <c r="G14" s="261"/>
      <c r="H14" s="343">
        <v>6</v>
      </c>
      <c r="I14" s="344">
        <f t="shared" si="13"/>
        <v>41280</v>
      </c>
      <c r="J14" s="6"/>
      <c r="K14" s="6"/>
      <c r="L14" s="334" t="str">
        <f t="shared" si="0"/>
        <v/>
      </c>
      <c r="M14" s="335" t="e">
        <f t="shared" si="1"/>
        <v>#VALUE!</v>
      </c>
      <c r="N14" s="335" t="e">
        <f t="shared" si="2"/>
        <v>#VALUE!</v>
      </c>
      <c r="O14" s="335" t="e">
        <f t="shared" si="3"/>
        <v>#VALUE!</v>
      </c>
      <c r="P14" s="336" t="str">
        <f t="shared" si="4"/>
        <v/>
      </c>
      <c r="Q14" s="569"/>
      <c r="R14" s="570"/>
      <c r="S14" s="570"/>
      <c r="T14" s="571"/>
      <c r="U14" s="257"/>
      <c r="V14" s="241">
        <f t="shared" si="15"/>
        <v>0</v>
      </c>
      <c r="W14" s="241">
        <f t="shared" ref="W14:W39" si="27">+U14-V14</f>
        <v>0</v>
      </c>
      <c r="X14" s="241">
        <f t="shared" si="16"/>
        <v>0</v>
      </c>
      <c r="Y14" s="275">
        <f t="shared" ref="Y14:Y39" si="28">+X14+V14</f>
        <v>0</v>
      </c>
      <c r="Z14" s="257"/>
      <c r="AA14" s="257"/>
      <c r="AB14" s="257"/>
      <c r="AC14" s="257"/>
      <c r="AD14" s="257"/>
      <c r="AE14" s="240">
        <f t="shared" si="17"/>
        <v>0</v>
      </c>
      <c r="AF14" s="240">
        <f t="shared" si="20"/>
        <v>0</v>
      </c>
      <c r="AG14" s="240">
        <f t="shared" si="18"/>
        <v>0</v>
      </c>
      <c r="AH14" s="242">
        <f t="shared" si="21"/>
        <v>0</v>
      </c>
      <c r="AI14" s="122"/>
      <c r="AJ14" s="122"/>
      <c r="AK14" s="122"/>
      <c r="AL14" s="122"/>
      <c r="AM14" s="122"/>
      <c r="AN14" s="478"/>
      <c r="AO14" s="240">
        <f t="shared" si="5"/>
        <v>0</v>
      </c>
      <c r="AP14" s="240">
        <f t="shared" si="6"/>
        <v>0</v>
      </c>
      <c r="AQ14" s="240">
        <f t="shared" si="7"/>
        <v>0</v>
      </c>
      <c r="AR14" s="242">
        <f t="shared" si="14"/>
        <v>0</v>
      </c>
      <c r="AS14" s="245"/>
      <c r="AT14" s="245"/>
      <c r="AU14" s="245"/>
      <c r="AV14" s="181"/>
      <c r="BA14" s="345"/>
      <c r="BB14" s="345"/>
      <c r="BC14" s="345"/>
      <c r="BD14" s="345"/>
      <c r="BE14" s="345"/>
      <c r="BF14" s="345"/>
      <c r="BH14" s="339" t="e">
        <f>IF($K14&gt;=0,+SUM(L$9:$L14)-$B14+Jan!$BA$41+SUM(AR$9:$AR14)," ")</f>
        <v>#VALUE!</v>
      </c>
      <c r="BI14" s="330" t="e">
        <f t="shared" si="22"/>
        <v>#VALUE!</v>
      </c>
      <c r="BJ14" s="331" t="e">
        <f t="shared" si="23"/>
        <v>#VALUE!</v>
      </c>
      <c r="BK14" s="331" t="e">
        <f t="shared" si="24"/>
        <v>#VALUE!</v>
      </c>
      <c r="BL14" s="331" t="e">
        <f t="shared" si="25"/>
        <v>#VALUE!</v>
      </c>
      <c r="BM14" s="337" t="str">
        <f t="shared" si="8"/>
        <v/>
      </c>
      <c r="BN14" s="340" t="str">
        <f t="shared" si="26"/>
        <v/>
      </c>
      <c r="BO14" s="288">
        <f t="shared" si="19"/>
        <v>1</v>
      </c>
    </row>
    <row r="15" spans="1:67" ht="15.95" customHeight="1" x14ac:dyDescent="0.25">
      <c r="A15" s="341"/>
      <c r="B15" s="342">
        <f>IF($I15&lt;&gt;"",IF(WEEKDAY($I15,2)&lt;6,IF(VLOOKUP(WEEKDAY($I15,2),InputUge,3)&gt;0,IF($A15="",VLOOKUP(WEEKDAY($I15,2),InputUge,3)+MAX(B$8:B14),IF($A15&lt;VLOOKUP(WEEKDAY($I15,2),InputUge,3),$A15+MAX(B$8:B14),VLOOKUP(WEEKDAY($I15,2),InputUge,3)+MAX(B$8:B14))),""),""),"")</f>
        <v>37.006666666666668</v>
      </c>
      <c r="C15" s="330">
        <f t="shared" si="9"/>
        <v>1</v>
      </c>
      <c r="D15" s="331">
        <f t="shared" si="10"/>
        <v>37</v>
      </c>
      <c r="E15" s="331">
        <f t="shared" si="11"/>
        <v>6.6666666666677088E-3</v>
      </c>
      <c r="F15" s="331">
        <f t="shared" si="12"/>
        <v>4.0000000000006255E-3</v>
      </c>
      <c r="G15" s="261">
        <f>+F15+D15</f>
        <v>37.003999999999998</v>
      </c>
      <c r="H15" s="343">
        <v>7</v>
      </c>
      <c r="I15" s="344">
        <f t="shared" si="13"/>
        <v>41281</v>
      </c>
      <c r="J15" s="6">
        <v>0.34826388888888887</v>
      </c>
      <c r="K15" s="6">
        <v>0.64236111111111105</v>
      </c>
      <c r="L15" s="334">
        <f t="shared" si="0"/>
        <v>7.06</v>
      </c>
      <c r="M15" s="335">
        <f t="shared" si="1"/>
        <v>7</v>
      </c>
      <c r="N15" s="335">
        <f t="shared" si="2"/>
        <v>5.9999999999999609E-2</v>
      </c>
      <c r="O15" s="335">
        <f t="shared" si="3"/>
        <v>3.5999999999999761E-2</v>
      </c>
      <c r="P15" s="336">
        <f t="shared" si="4"/>
        <v>7.0359999999999996</v>
      </c>
      <c r="Q15" s="572"/>
      <c r="R15" s="573"/>
      <c r="S15" s="573"/>
      <c r="T15" s="574"/>
      <c r="U15" s="442"/>
      <c r="V15" s="241">
        <f t="shared" si="15"/>
        <v>0</v>
      </c>
      <c r="W15" s="241">
        <f t="shared" si="27"/>
        <v>0</v>
      </c>
      <c r="X15" s="241">
        <f t="shared" si="16"/>
        <v>0</v>
      </c>
      <c r="Y15" s="275">
        <f t="shared" si="28"/>
        <v>0</v>
      </c>
      <c r="Z15" s="442"/>
      <c r="AA15" s="442"/>
      <c r="AB15" s="442"/>
      <c r="AC15" s="442"/>
      <c r="AD15" s="442"/>
      <c r="AE15" s="241">
        <f t="shared" si="17"/>
        <v>0</v>
      </c>
      <c r="AF15" s="241">
        <f t="shared" si="20"/>
        <v>0</v>
      </c>
      <c r="AG15" s="241">
        <f t="shared" si="18"/>
        <v>0</v>
      </c>
      <c r="AH15" s="443">
        <f t="shared" si="21"/>
        <v>0</v>
      </c>
      <c r="AI15" s="442"/>
      <c r="AJ15" s="442"/>
      <c r="AK15" s="442"/>
      <c r="AL15" s="442"/>
      <c r="AM15" s="442"/>
      <c r="AN15" s="476"/>
      <c r="AO15" s="241">
        <f t="shared" si="5"/>
        <v>0</v>
      </c>
      <c r="AP15" s="241">
        <f t="shared" ref="AP15:AP23" si="29">+AN15-AO15</f>
        <v>0</v>
      </c>
      <c r="AQ15" s="241">
        <f t="shared" si="7"/>
        <v>0</v>
      </c>
      <c r="AR15" s="443">
        <f t="shared" ref="AR15:AR23" si="30">+AQ15+AO15</f>
        <v>0</v>
      </c>
      <c r="AS15" s="444"/>
      <c r="AT15" s="444"/>
      <c r="AU15" s="444"/>
      <c r="AV15" s="445"/>
      <c r="BA15" s="345"/>
      <c r="BB15" s="345"/>
      <c r="BC15" s="345"/>
      <c r="BD15" s="345"/>
      <c r="BE15" s="345"/>
      <c r="BF15" s="345"/>
      <c r="BH15" s="339">
        <f>IF($K15&gt;=0,+SUM(L$9:$L15)-$B15+Jan!$BA$41+SUM(AR$9:$AR15)," ")+0.003</f>
        <v>-3.6666666666677087E-3</v>
      </c>
      <c r="BI15" s="330">
        <f t="shared" si="22"/>
        <v>-1</v>
      </c>
      <c r="BJ15" s="331">
        <f t="shared" si="23"/>
        <v>0</v>
      </c>
      <c r="BK15" s="331">
        <f t="shared" si="24"/>
        <v>-3.6666666666677087E-3</v>
      </c>
      <c r="BL15" s="331">
        <f t="shared" si="25"/>
        <v>-2.2000000000006251E-3</v>
      </c>
      <c r="BM15" s="337">
        <f t="shared" si="8"/>
        <v>-2.2000000000006251E-3</v>
      </c>
      <c r="BN15" s="340">
        <f t="shared" si="26"/>
        <v>7.0359999999999996</v>
      </c>
      <c r="BO15" s="288">
        <f t="shared" si="19"/>
        <v>2</v>
      </c>
    </row>
    <row r="16" spans="1:67" ht="15.95" customHeight="1" x14ac:dyDescent="0.25">
      <c r="A16" s="341"/>
      <c r="B16" s="342">
        <f>IF($I16&lt;&gt;"",IF(WEEKDAY($I16,2)&lt;6,IF(VLOOKUP(WEEKDAY($I16,2),InputUge,3)&gt;0,IF($A16="",VLOOKUP(WEEKDAY($I16,2),InputUge,3)+MAX(B$8:B15),IF($A16&lt;VLOOKUP(WEEKDAY($I16,2),InputUge,3),$A16+MAX(B$8:B15),VLOOKUP(WEEKDAY($I16,2),InputUge,3)+MAX(B$8:B15))),""),""),"")</f>
        <v>44.073333333333338</v>
      </c>
      <c r="C16" s="330">
        <f t="shared" si="9"/>
        <v>1</v>
      </c>
      <c r="D16" s="331">
        <f>FLOOR(B16,C16)</f>
        <v>44</v>
      </c>
      <c r="E16" s="331">
        <f>+B16-D16</f>
        <v>7.3333333333337691E-2</v>
      </c>
      <c r="F16" s="331">
        <f t="shared" si="12"/>
        <v>4.4000000000002613E-2</v>
      </c>
      <c r="G16" s="261">
        <f>+F16+D16</f>
        <v>44.044000000000004</v>
      </c>
      <c r="H16" s="463">
        <v>8</v>
      </c>
      <c r="I16" s="344">
        <f t="shared" si="13"/>
        <v>41282</v>
      </c>
      <c r="J16" s="6">
        <v>0.34791666666666665</v>
      </c>
      <c r="K16" s="6">
        <v>0.64236111111111105</v>
      </c>
      <c r="L16" s="334">
        <f t="shared" si="0"/>
        <v>7.07</v>
      </c>
      <c r="M16" s="335">
        <f t="shared" si="1"/>
        <v>7</v>
      </c>
      <c r="N16" s="335">
        <f t="shared" si="2"/>
        <v>7.0000000000000284E-2</v>
      </c>
      <c r="O16" s="335">
        <f t="shared" si="3"/>
        <v>4.2000000000000169E-2</v>
      </c>
      <c r="P16" s="336">
        <f t="shared" si="4"/>
        <v>7.0419999999999998</v>
      </c>
      <c r="Q16" s="572"/>
      <c r="R16" s="573"/>
      <c r="S16" s="573"/>
      <c r="T16" s="574"/>
      <c r="U16" s="442"/>
      <c r="V16" s="241">
        <f t="shared" si="15"/>
        <v>0</v>
      </c>
      <c r="W16" s="241">
        <f t="shared" si="27"/>
        <v>0</v>
      </c>
      <c r="X16" s="241">
        <f t="shared" si="16"/>
        <v>0</v>
      </c>
      <c r="Y16" s="275">
        <f t="shared" si="28"/>
        <v>0</v>
      </c>
      <c r="Z16" s="442"/>
      <c r="AA16" s="442"/>
      <c r="AB16" s="442"/>
      <c r="AC16" s="442"/>
      <c r="AD16" s="442"/>
      <c r="AE16" s="241">
        <f t="shared" si="17"/>
        <v>0</v>
      </c>
      <c r="AF16" s="241">
        <f t="shared" si="20"/>
        <v>0</v>
      </c>
      <c r="AG16" s="241">
        <f t="shared" si="18"/>
        <v>0</v>
      </c>
      <c r="AH16" s="443">
        <f t="shared" si="21"/>
        <v>0</v>
      </c>
      <c r="AI16" s="442"/>
      <c r="AJ16" s="442"/>
      <c r="AK16" s="442"/>
      <c r="AL16" s="442"/>
      <c r="AM16" s="442"/>
      <c r="AN16" s="476"/>
      <c r="AO16" s="241">
        <f t="shared" si="5"/>
        <v>0</v>
      </c>
      <c r="AP16" s="241">
        <f t="shared" si="29"/>
        <v>0</v>
      </c>
      <c r="AQ16" s="241">
        <f t="shared" si="7"/>
        <v>0</v>
      </c>
      <c r="AR16" s="443">
        <f t="shared" si="30"/>
        <v>0</v>
      </c>
      <c r="AS16" s="444"/>
      <c r="AT16" s="444"/>
      <c r="AU16" s="444"/>
      <c r="AV16" s="445"/>
      <c r="BA16" s="345"/>
      <c r="BB16" s="345"/>
      <c r="BC16" s="345"/>
      <c r="BD16" s="345"/>
      <c r="BE16" s="345"/>
      <c r="BF16" s="345"/>
      <c r="BH16" s="339">
        <f>IF($K16&gt;=0,+SUM(L$9:$L16)-$B16+Jan!$BA$41+SUM(AR$9:$AR16)," ")</f>
        <v>-3.3333333333374071E-3</v>
      </c>
      <c r="BI16" s="330">
        <f t="shared" si="22"/>
        <v>-1</v>
      </c>
      <c r="BJ16" s="331">
        <f t="shared" si="23"/>
        <v>0</v>
      </c>
      <c r="BK16" s="331">
        <f t="shared" si="24"/>
        <v>-3.3333333333374071E-3</v>
      </c>
      <c r="BL16" s="331">
        <f t="shared" si="25"/>
        <v>-2.0000000000024443E-3</v>
      </c>
      <c r="BM16" s="337">
        <f t="shared" si="8"/>
        <v>-2.0000000000024443E-3</v>
      </c>
      <c r="BN16" s="340">
        <f t="shared" si="26"/>
        <v>7.0419999999999998</v>
      </c>
      <c r="BO16" s="288">
        <f t="shared" si="19"/>
        <v>2</v>
      </c>
    </row>
    <row r="17" spans="1:67" ht="15.95" customHeight="1" x14ac:dyDescent="0.25">
      <c r="A17" s="341"/>
      <c r="B17" s="342">
        <f>IF($I17&lt;&gt;"",IF(WEEKDAY($I17,2)&lt;6,IF(VLOOKUP(WEEKDAY($I17,2),InputUge,3)&gt;0,IF($A17="",VLOOKUP(WEEKDAY($I17,2),InputUge,3)+MAX(B$8:B16),IF($A17&lt;VLOOKUP(WEEKDAY($I17,2),InputUge,3),$A17+MAX(B$8:B16),VLOOKUP(WEEKDAY($I17,2),InputUge,3)+MAX(B$8:B16))),""),""),"")</f>
        <v>51.14</v>
      </c>
      <c r="C17" s="330">
        <f t="shared" si="9"/>
        <v>1</v>
      </c>
      <c r="D17" s="331">
        <f t="shared" si="10"/>
        <v>51</v>
      </c>
      <c r="E17" s="331">
        <f t="shared" si="11"/>
        <v>0.14000000000000057</v>
      </c>
      <c r="F17" s="331">
        <f t="shared" si="12"/>
        <v>8.4000000000000338E-2</v>
      </c>
      <c r="G17" s="261">
        <f t="shared" ref="G17:G39" si="31">+F17+D17</f>
        <v>51.084000000000003</v>
      </c>
      <c r="H17" s="343">
        <v>9</v>
      </c>
      <c r="I17" s="344">
        <f t="shared" si="13"/>
        <v>41283</v>
      </c>
      <c r="J17" s="6">
        <v>0.34791666666666665</v>
      </c>
      <c r="K17" s="6">
        <v>0.64236111111111105</v>
      </c>
      <c r="L17" s="334">
        <f t="shared" si="0"/>
        <v>7.07</v>
      </c>
      <c r="M17" s="335">
        <f t="shared" si="1"/>
        <v>7</v>
      </c>
      <c r="N17" s="335">
        <f t="shared" si="2"/>
        <v>7.0000000000000284E-2</v>
      </c>
      <c r="O17" s="335">
        <f t="shared" si="3"/>
        <v>4.2000000000000169E-2</v>
      </c>
      <c r="P17" s="336">
        <f t="shared" si="4"/>
        <v>7.0419999999999998</v>
      </c>
      <c r="Q17" s="572"/>
      <c r="R17" s="573"/>
      <c r="S17" s="573"/>
      <c r="T17" s="574"/>
      <c r="U17" s="442"/>
      <c r="V17" s="241">
        <f t="shared" si="15"/>
        <v>0</v>
      </c>
      <c r="W17" s="241">
        <f t="shared" si="27"/>
        <v>0</v>
      </c>
      <c r="X17" s="241">
        <f t="shared" si="16"/>
        <v>0</v>
      </c>
      <c r="Y17" s="275">
        <f t="shared" si="28"/>
        <v>0</v>
      </c>
      <c r="Z17" s="442"/>
      <c r="AA17" s="442"/>
      <c r="AB17" s="442"/>
      <c r="AC17" s="442"/>
      <c r="AD17" s="442"/>
      <c r="AE17" s="241">
        <f t="shared" si="17"/>
        <v>0</v>
      </c>
      <c r="AF17" s="241">
        <f t="shared" si="20"/>
        <v>0</v>
      </c>
      <c r="AG17" s="241">
        <f t="shared" si="18"/>
        <v>0</v>
      </c>
      <c r="AH17" s="443">
        <f t="shared" si="21"/>
        <v>0</v>
      </c>
      <c r="AI17" s="442"/>
      <c r="AJ17" s="442"/>
      <c r="AK17" s="442"/>
      <c r="AL17" s="442"/>
      <c r="AM17" s="442"/>
      <c r="AN17" s="476"/>
      <c r="AO17" s="241">
        <f t="shared" si="5"/>
        <v>0</v>
      </c>
      <c r="AP17" s="241">
        <f t="shared" si="29"/>
        <v>0</v>
      </c>
      <c r="AQ17" s="241">
        <f t="shared" si="7"/>
        <v>0</v>
      </c>
      <c r="AR17" s="443">
        <f t="shared" si="30"/>
        <v>0</v>
      </c>
      <c r="AS17" s="444"/>
      <c r="AT17" s="444"/>
      <c r="AU17" s="444"/>
      <c r="AV17" s="445"/>
      <c r="BA17" s="345"/>
      <c r="BB17" s="345"/>
      <c r="BC17" s="345"/>
      <c r="BD17" s="345"/>
      <c r="BE17" s="345"/>
      <c r="BF17" s="345"/>
      <c r="BH17" s="339">
        <f>IF($K17&gt;=0,+SUM(L$9:$L17)-$B17+Jan!$BA$41+SUM(AR$9:$AR17)," ")-0.005</f>
        <v>-5.0000000000000001E-3</v>
      </c>
      <c r="BI17" s="330">
        <f t="shared" si="22"/>
        <v>-1</v>
      </c>
      <c r="BJ17" s="331">
        <f t="shared" si="23"/>
        <v>0</v>
      </c>
      <c r="BK17" s="331">
        <f t="shared" si="24"/>
        <v>-5.0000000000000001E-3</v>
      </c>
      <c r="BL17" s="331">
        <f t="shared" si="25"/>
        <v>-3.0000000000000001E-3</v>
      </c>
      <c r="BM17" s="337">
        <f t="shared" si="8"/>
        <v>-3.0000000000000001E-3</v>
      </c>
      <c r="BN17" s="340">
        <f t="shared" si="26"/>
        <v>7.0419999999999998</v>
      </c>
      <c r="BO17" s="288">
        <f t="shared" si="19"/>
        <v>2</v>
      </c>
    </row>
    <row r="18" spans="1:67" ht="15.95" customHeight="1" x14ac:dyDescent="0.25">
      <c r="A18" s="341"/>
      <c r="B18" s="342">
        <f>IF($I18&lt;&gt;"",IF(WEEKDAY($I18,2)&lt;6,IF(VLOOKUP(WEEKDAY($I18,2),InputUge,3)&gt;0,IF($A18="",VLOOKUP(WEEKDAY($I18,2),InputUge,3)+MAX(B$8:B17),IF($A18&lt;VLOOKUP(WEEKDAY($I18,2),InputUge,3),$A18+MAX(B$8:B17),VLOOKUP(WEEKDAY($I18,2),InputUge,3)+MAX(B$8:B17))),""),""),"")</f>
        <v>60.55</v>
      </c>
      <c r="C18" s="330">
        <f t="shared" si="9"/>
        <v>1</v>
      </c>
      <c r="D18" s="331">
        <f>FLOOR(B18,C18)</f>
        <v>60</v>
      </c>
      <c r="E18" s="331">
        <f>+B18-D18</f>
        <v>0.54999999999999716</v>
      </c>
      <c r="F18" s="331">
        <f t="shared" si="12"/>
        <v>0.32999999999999829</v>
      </c>
      <c r="G18" s="261">
        <f t="shared" si="31"/>
        <v>60.33</v>
      </c>
      <c r="H18" s="343">
        <v>10</v>
      </c>
      <c r="I18" s="344">
        <f t="shared" si="13"/>
        <v>41284</v>
      </c>
      <c r="J18" s="6">
        <v>0.34791666666666665</v>
      </c>
      <c r="K18" s="6">
        <v>0.73987268518518512</v>
      </c>
      <c r="L18" s="334">
        <f t="shared" si="0"/>
        <v>9.41</v>
      </c>
      <c r="M18" s="335">
        <f t="shared" si="1"/>
        <v>9</v>
      </c>
      <c r="N18" s="335">
        <f t="shared" si="2"/>
        <v>0.41000000000000014</v>
      </c>
      <c r="O18" s="335">
        <f t="shared" si="3"/>
        <v>0.24600000000000008</v>
      </c>
      <c r="P18" s="336">
        <f t="shared" si="4"/>
        <v>9.2460000000000004</v>
      </c>
      <c r="Q18" s="572"/>
      <c r="R18" s="573"/>
      <c r="S18" s="573"/>
      <c r="T18" s="574"/>
      <c r="U18" s="442"/>
      <c r="V18" s="241">
        <f t="shared" si="15"/>
        <v>0</v>
      </c>
      <c r="W18" s="241">
        <f t="shared" si="27"/>
        <v>0</v>
      </c>
      <c r="X18" s="241">
        <f t="shared" si="16"/>
        <v>0</v>
      </c>
      <c r="Y18" s="275">
        <f t="shared" si="28"/>
        <v>0</v>
      </c>
      <c r="Z18" s="442"/>
      <c r="AA18" s="442"/>
      <c r="AB18" s="442"/>
      <c r="AC18" s="442"/>
      <c r="AD18" s="442"/>
      <c r="AE18" s="241">
        <f t="shared" si="17"/>
        <v>0</v>
      </c>
      <c r="AF18" s="241">
        <f t="shared" si="20"/>
        <v>0</v>
      </c>
      <c r="AG18" s="241">
        <f t="shared" si="18"/>
        <v>0</v>
      </c>
      <c r="AH18" s="443">
        <f t="shared" si="21"/>
        <v>0</v>
      </c>
      <c r="AI18" s="442"/>
      <c r="AJ18" s="442"/>
      <c r="AK18" s="442"/>
      <c r="AL18" s="442"/>
      <c r="AM18" s="442"/>
      <c r="AN18" s="476"/>
      <c r="AO18" s="241">
        <f t="shared" si="5"/>
        <v>0</v>
      </c>
      <c r="AP18" s="241">
        <f t="shared" si="29"/>
        <v>0</v>
      </c>
      <c r="AQ18" s="241">
        <f t="shared" si="7"/>
        <v>0</v>
      </c>
      <c r="AR18" s="443">
        <f t="shared" si="30"/>
        <v>0</v>
      </c>
      <c r="AS18" s="444"/>
      <c r="AT18" s="444"/>
      <c r="AU18" s="444"/>
      <c r="AV18" s="445"/>
      <c r="BA18" s="345"/>
      <c r="BB18" s="345"/>
      <c r="BC18" s="345"/>
      <c r="BD18" s="345"/>
      <c r="BE18" s="345"/>
      <c r="BF18" s="345"/>
      <c r="BH18" s="339">
        <f>IF($K18&gt;=0,+SUM(L$9:$L18)-$B18+Jan!$BA$41+SUM(AR$9:$AR18)," ")-0.005</f>
        <v>-5.0000000000000001E-3</v>
      </c>
      <c r="BI18" s="330">
        <f t="shared" ref="BI18:BI25" si="32">IF(BH18&lt;0,-1,1)</f>
        <v>-1</v>
      </c>
      <c r="BJ18" s="331">
        <f t="shared" si="23"/>
        <v>0</v>
      </c>
      <c r="BK18" s="331">
        <f t="shared" si="24"/>
        <v>-5.0000000000000001E-3</v>
      </c>
      <c r="BL18" s="331">
        <f t="shared" ref="BL18:BL25" si="33">+BK18/100*60</f>
        <v>-3.0000000000000001E-3</v>
      </c>
      <c r="BM18" s="337">
        <f t="shared" si="8"/>
        <v>-3.0000000000000001E-3</v>
      </c>
      <c r="BN18" s="340">
        <f t="shared" si="26"/>
        <v>9.2460000000000004</v>
      </c>
      <c r="BO18" s="288">
        <f t="shared" si="19"/>
        <v>2</v>
      </c>
    </row>
    <row r="19" spans="1:67" ht="15.95" customHeight="1" x14ac:dyDescent="0.25">
      <c r="A19" s="341"/>
      <c r="B19" s="342">
        <f>IF($I19&lt;&gt;"",IF(WEEKDAY($I19,2)&lt;6,IF(VLOOKUP(WEEKDAY($I19,2),InputUge,3)&gt;0,IF($A19="",VLOOKUP(WEEKDAY($I19,2),InputUge,3)+MAX(B$8:B18),IF($A19&lt;VLOOKUP(WEEKDAY($I19,2),InputUge,3),$A19+MAX(B$8:B18),VLOOKUP(WEEKDAY($I19,2),InputUge,3)+MAX(B$8:B18))),""),""),"")</f>
        <v>66.95</v>
      </c>
      <c r="C19" s="330">
        <f t="shared" si="9"/>
        <v>1</v>
      </c>
      <c r="D19" s="331">
        <f t="shared" si="10"/>
        <v>66</v>
      </c>
      <c r="E19" s="331">
        <f t="shared" si="11"/>
        <v>0.95000000000000284</v>
      </c>
      <c r="F19" s="331">
        <f t="shared" si="12"/>
        <v>0.57000000000000173</v>
      </c>
      <c r="G19" s="261">
        <f t="shared" si="31"/>
        <v>66.570000000000007</v>
      </c>
      <c r="H19" s="343">
        <v>11</v>
      </c>
      <c r="I19" s="344">
        <f>+I18+1</f>
        <v>41285</v>
      </c>
      <c r="J19" s="6">
        <v>0.34791666666666665</v>
      </c>
      <c r="K19" s="6">
        <v>0.61458333333333337</v>
      </c>
      <c r="L19" s="334">
        <f t="shared" si="0"/>
        <v>6.4</v>
      </c>
      <c r="M19" s="335">
        <f t="shared" si="1"/>
        <v>6</v>
      </c>
      <c r="N19" s="335">
        <f t="shared" si="2"/>
        <v>0.40000000000000036</v>
      </c>
      <c r="O19" s="335">
        <f t="shared" si="3"/>
        <v>0.24000000000000021</v>
      </c>
      <c r="P19" s="336">
        <f t="shared" si="4"/>
        <v>6.24</v>
      </c>
      <c r="Q19" s="572"/>
      <c r="R19" s="573"/>
      <c r="S19" s="573"/>
      <c r="T19" s="574"/>
      <c r="U19" s="442"/>
      <c r="V19" s="241">
        <f t="shared" si="15"/>
        <v>0</v>
      </c>
      <c r="W19" s="241">
        <f t="shared" si="27"/>
        <v>0</v>
      </c>
      <c r="X19" s="241">
        <f t="shared" si="16"/>
        <v>0</v>
      </c>
      <c r="Y19" s="275">
        <f t="shared" si="28"/>
        <v>0</v>
      </c>
      <c r="Z19" s="442"/>
      <c r="AA19" s="442"/>
      <c r="AB19" s="442"/>
      <c r="AC19" s="442"/>
      <c r="AD19" s="442"/>
      <c r="AE19" s="241">
        <f t="shared" si="17"/>
        <v>0</v>
      </c>
      <c r="AF19" s="241">
        <f t="shared" si="20"/>
        <v>0</v>
      </c>
      <c r="AG19" s="241">
        <f t="shared" si="18"/>
        <v>0</v>
      </c>
      <c r="AH19" s="443">
        <f t="shared" si="21"/>
        <v>0</v>
      </c>
      <c r="AI19" s="442"/>
      <c r="AJ19" s="442"/>
      <c r="AK19" s="442"/>
      <c r="AL19" s="442"/>
      <c r="AM19" s="442"/>
      <c r="AN19" s="476"/>
      <c r="AO19" s="241">
        <f t="shared" si="5"/>
        <v>0</v>
      </c>
      <c r="AP19" s="241">
        <f t="shared" si="29"/>
        <v>0</v>
      </c>
      <c r="AQ19" s="241">
        <f t="shared" si="7"/>
        <v>0</v>
      </c>
      <c r="AR19" s="443">
        <f t="shared" si="30"/>
        <v>0</v>
      </c>
      <c r="AS19" s="444"/>
      <c r="AT19" s="444"/>
      <c r="AU19" s="444"/>
      <c r="AV19" s="445"/>
      <c r="BA19" s="345"/>
      <c r="BB19" s="345"/>
      <c r="BC19" s="345"/>
      <c r="BD19" s="345"/>
      <c r="BE19" s="345"/>
      <c r="BF19" s="345"/>
      <c r="BH19" s="339">
        <f>IF($K19&gt;=0,+SUM(L$9:$L19)-$B19+Jan!$BA$41+SUM(AR$9:$AR19)," ")-0.005</f>
        <v>-5.0000000000000001E-3</v>
      </c>
      <c r="BI19" s="330">
        <f t="shared" si="32"/>
        <v>-1</v>
      </c>
      <c r="BJ19" s="331">
        <f t="shared" ref="BJ19:BJ25" si="34">FLOOR(BH19,BI19)</f>
        <v>0</v>
      </c>
      <c r="BK19" s="331">
        <f t="shared" ref="BK19:BK25" si="35">+BH19-BJ19</f>
        <v>-5.0000000000000001E-3</v>
      </c>
      <c r="BL19" s="331">
        <f t="shared" si="33"/>
        <v>-3.0000000000000001E-3</v>
      </c>
      <c r="BM19" s="337">
        <f t="shared" si="8"/>
        <v>-3.0000000000000001E-3</v>
      </c>
      <c r="BN19" s="340">
        <f t="shared" si="26"/>
        <v>6.24</v>
      </c>
      <c r="BO19" s="288">
        <f t="shared" si="19"/>
        <v>2</v>
      </c>
    </row>
    <row r="20" spans="1:67" ht="15.95" customHeight="1" x14ac:dyDescent="0.25">
      <c r="A20" s="341"/>
      <c r="B20" s="342" t="str">
        <f>IF($I20&lt;&gt;"",IF(WEEKDAY($I20,2)&lt;6,IF(VLOOKUP(WEEKDAY($I20,2),InputUge,3)&gt;0,IF($A20="",VLOOKUP(WEEKDAY($I20,2),InputUge,3)+MAX(B$8:B19),IF($A20&lt;VLOOKUP(WEEKDAY($I20,2),InputUge,3),$A20+MAX(B$8:B19),VLOOKUP(WEEKDAY($I20,2),InputUge,3)+MAX(B$8:B19))),""),""),"")</f>
        <v/>
      </c>
      <c r="C20" s="330">
        <f t="shared" si="9"/>
        <v>1</v>
      </c>
      <c r="D20" s="331" t="e">
        <f t="shared" si="10"/>
        <v>#VALUE!</v>
      </c>
      <c r="E20" s="331" t="e">
        <f t="shared" si="11"/>
        <v>#VALUE!</v>
      </c>
      <c r="F20" s="331" t="e">
        <f t="shared" si="12"/>
        <v>#VALUE!</v>
      </c>
      <c r="G20" s="261"/>
      <c r="H20" s="343">
        <v>12</v>
      </c>
      <c r="I20" s="344">
        <f>+I19+1</f>
        <v>41286</v>
      </c>
      <c r="J20" s="6"/>
      <c r="K20" s="6"/>
      <c r="L20" s="334"/>
      <c r="M20" s="335"/>
      <c r="N20" s="335"/>
      <c r="O20" s="335"/>
      <c r="P20" s="336"/>
      <c r="Q20" s="572"/>
      <c r="R20" s="573"/>
      <c r="S20" s="573"/>
      <c r="T20" s="574"/>
      <c r="U20" s="442"/>
      <c r="V20" s="241">
        <f t="shared" si="15"/>
        <v>0</v>
      </c>
      <c r="W20" s="241">
        <f t="shared" si="27"/>
        <v>0</v>
      </c>
      <c r="X20" s="241">
        <f t="shared" si="16"/>
        <v>0</v>
      </c>
      <c r="Y20" s="275">
        <f t="shared" si="28"/>
        <v>0</v>
      </c>
      <c r="Z20" s="442"/>
      <c r="AA20" s="442"/>
      <c r="AB20" s="442"/>
      <c r="AC20" s="442"/>
      <c r="AD20" s="442"/>
      <c r="AE20" s="241">
        <f t="shared" si="17"/>
        <v>0</v>
      </c>
      <c r="AF20" s="241">
        <f t="shared" si="20"/>
        <v>0</v>
      </c>
      <c r="AG20" s="241">
        <f t="shared" si="18"/>
        <v>0</v>
      </c>
      <c r="AH20" s="443">
        <f t="shared" si="21"/>
        <v>0</v>
      </c>
      <c r="AI20" s="442"/>
      <c r="AJ20" s="442"/>
      <c r="AK20" s="442"/>
      <c r="AL20" s="442"/>
      <c r="AM20" s="442"/>
      <c r="AN20" s="476"/>
      <c r="AO20" s="241">
        <f t="shared" si="5"/>
        <v>0</v>
      </c>
      <c r="AP20" s="241">
        <f t="shared" si="29"/>
        <v>0</v>
      </c>
      <c r="AQ20" s="241">
        <f t="shared" si="7"/>
        <v>0</v>
      </c>
      <c r="AR20" s="443">
        <f t="shared" si="30"/>
        <v>0</v>
      </c>
      <c r="AS20" s="444"/>
      <c r="AT20" s="444"/>
      <c r="AU20" s="444"/>
      <c r="AV20" s="445"/>
      <c r="BA20" s="345"/>
      <c r="BB20" s="345"/>
      <c r="BC20" s="345"/>
      <c r="BD20" s="345"/>
      <c r="BE20" s="345"/>
      <c r="BF20" s="345"/>
      <c r="BH20" s="339" t="e">
        <f>IF($K20&gt;=0,+SUM(L$9:$L20)-$B20+Jan!$BA$41+SUM(AR$9:$AR20)," ")</f>
        <v>#VALUE!</v>
      </c>
      <c r="BI20" s="330" t="e">
        <f t="shared" si="32"/>
        <v>#VALUE!</v>
      </c>
      <c r="BJ20" s="331" t="e">
        <f t="shared" si="34"/>
        <v>#VALUE!</v>
      </c>
      <c r="BK20" s="331" t="e">
        <f t="shared" si="35"/>
        <v>#VALUE!</v>
      </c>
      <c r="BL20" s="331" t="e">
        <f t="shared" si="33"/>
        <v>#VALUE!</v>
      </c>
      <c r="BM20" s="337"/>
      <c r="BN20" s="340">
        <f t="shared" si="26"/>
        <v>0</v>
      </c>
      <c r="BO20" s="288">
        <f t="shared" si="19"/>
        <v>2</v>
      </c>
    </row>
    <row r="21" spans="1:67" ht="15.95" customHeight="1" x14ac:dyDescent="0.25">
      <c r="A21" s="341"/>
      <c r="B21" s="342" t="str">
        <f>IF($I21&lt;&gt;"",IF(WEEKDAY($I21,2)&lt;6,IF(VLOOKUP(WEEKDAY($I21,2),InputUge,3)&gt;0,IF($A21="",VLOOKUP(WEEKDAY($I21,2),InputUge,3)+MAX(B$8:B20),IF($A21&lt;VLOOKUP(WEEKDAY($I21,2),InputUge,3),$A21+MAX(B$8:B20),VLOOKUP(WEEKDAY($I21,2),InputUge,3)+MAX(B$8:B20))),""),""),"")</f>
        <v/>
      </c>
      <c r="C21" s="330">
        <f t="shared" si="9"/>
        <v>1</v>
      </c>
      <c r="D21" s="331" t="e">
        <f t="shared" si="10"/>
        <v>#VALUE!</v>
      </c>
      <c r="E21" s="331" t="e">
        <f t="shared" si="11"/>
        <v>#VALUE!</v>
      </c>
      <c r="F21" s="331" t="e">
        <f t="shared" si="12"/>
        <v>#VALUE!</v>
      </c>
      <c r="G21" s="261"/>
      <c r="H21" s="343">
        <v>13</v>
      </c>
      <c r="I21" s="344">
        <f>+I20+1</f>
        <v>41287</v>
      </c>
      <c r="J21" s="6"/>
      <c r="K21" s="6"/>
      <c r="L21" s="334"/>
      <c r="M21" s="335"/>
      <c r="N21" s="335"/>
      <c r="O21" s="335"/>
      <c r="P21" s="336"/>
      <c r="Q21" s="572"/>
      <c r="R21" s="573"/>
      <c r="S21" s="573"/>
      <c r="T21" s="574"/>
      <c r="U21" s="442"/>
      <c r="V21" s="241">
        <f t="shared" si="15"/>
        <v>0</v>
      </c>
      <c r="W21" s="241">
        <f t="shared" si="27"/>
        <v>0</v>
      </c>
      <c r="X21" s="241">
        <f t="shared" si="16"/>
        <v>0</v>
      </c>
      <c r="Y21" s="275">
        <f t="shared" si="28"/>
        <v>0</v>
      </c>
      <c r="Z21" s="442"/>
      <c r="AA21" s="442"/>
      <c r="AB21" s="442"/>
      <c r="AC21" s="442"/>
      <c r="AD21" s="442"/>
      <c r="AE21" s="241">
        <f t="shared" si="17"/>
        <v>0</v>
      </c>
      <c r="AF21" s="241">
        <f t="shared" si="20"/>
        <v>0</v>
      </c>
      <c r="AG21" s="241">
        <f t="shared" si="18"/>
        <v>0</v>
      </c>
      <c r="AH21" s="443">
        <f t="shared" si="21"/>
        <v>0</v>
      </c>
      <c r="AI21" s="442"/>
      <c r="AJ21" s="442"/>
      <c r="AK21" s="442"/>
      <c r="AL21" s="442"/>
      <c r="AM21" s="442"/>
      <c r="AN21" s="476"/>
      <c r="AO21" s="241">
        <f t="shared" si="5"/>
        <v>0</v>
      </c>
      <c r="AP21" s="241">
        <f t="shared" si="29"/>
        <v>0</v>
      </c>
      <c r="AQ21" s="241">
        <f t="shared" si="7"/>
        <v>0</v>
      </c>
      <c r="AR21" s="443">
        <f t="shared" si="30"/>
        <v>0</v>
      </c>
      <c r="AS21" s="444"/>
      <c r="AT21" s="444"/>
      <c r="AU21" s="444"/>
      <c r="AV21" s="445"/>
      <c r="BA21" s="345"/>
      <c r="BB21" s="345"/>
      <c r="BC21" s="345"/>
      <c r="BD21" s="345"/>
      <c r="BE21" s="345"/>
      <c r="BF21" s="345"/>
      <c r="BH21" s="339" t="e">
        <f>IF($K21&gt;=0,+SUM(L$9:$L21)-$B21+Jan!$BA$41+SUM(AR$9:$AR21)," ")</f>
        <v>#VALUE!</v>
      </c>
      <c r="BI21" s="330" t="e">
        <f t="shared" si="32"/>
        <v>#VALUE!</v>
      </c>
      <c r="BJ21" s="331" t="e">
        <f t="shared" si="34"/>
        <v>#VALUE!</v>
      </c>
      <c r="BK21" s="331" t="e">
        <f t="shared" si="35"/>
        <v>#VALUE!</v>
      </c>
      <c r="BL21" s="331" t="e">
        <f t="shared" si="33"/>
        <v>#VALUE!</v>
      </c>
      <c r="BM21" s="337"/>
      <c r="BN21" s="340">
        <f t="shared" si="26"/>
        <v>0</v>
      </c>
      <c r="BO21" s="288">
        <f t="shared" si="19"/>
        <v>2</v>
      </c>
    </row>
    <row r="22" spans="1:67" ht="15.95" customHeight="1" x14ac:dyDescent="0.25">
      <c r="A22" s="341"/>
      <c r="B22" s="342">
        <f>IF($I22&lt;&gt;"",IF(WEEKDAY($I22,2)&lt;6,IF(VLOOKUP(WEEKDAY($I22,2),InputUge,3)&gt;0,IF($A22="",VLOOKUP(WEEKDAY($I22,2),InputUge,3)+MAX(B$8:B21),IF($A22&lt;VLOOKUP(WEEKDAY($I22,2),InputUge,3),$A22+MAX(B$8:B21),VLOOKUP(WEEKDAY($I22,2),InputUge,3)+MAX(B$8:B21))),""),""),"")</f>
        <v>74.013333333333335</v>
      </c>
      <c r="C22" s="330">
        <f t="shared" si="9"/>
        <v>1</v>
      </c>
      <c r="D22" s="331">
        <f t="shared" si="10"/>
        <v>74</v>
      </c>
      <c r="E22" s="331">
        <f t="shared" si="11"/>
        <v>1.3333333333335418E-2</v>
      </c>
      <c r="F22" s="331">
        <f t="shared" si="12"/>
        <v>8.0000000000012509E-3</v>
      </c>
      <c r="G22" s="261">
        <f t="shared" si="31"/>
        <v>74.007999999999996</v>
      </c>
      <c r="H22" s="343">
        <v>14</v>
      </c>
      <c r="I22" s="344">
        <f>+I21+1</f>
        <v>41288</v>
      </c>
      <c r="J22" s="6">
        <v>0.34791666666666665</v>
      </c>
      <c r="K22" s="6">
        <v>0.64236111111111105</v>
      </c>
      <c r="L22" s="334">
        <f>IF(K22&gt;0,ROUND(((K22-J22)*24)-SUM(BS22:BT22)+BU22,2)+IF(Fredagsfrokost="n",IF(WEEKDAY($I22,2)=5,IF(K22&gt;=0.5,IF(K22&lt;=13/24,0,0),0),0),0),IF(AX22&gt;0,AX22,""))</f>
        <v>7.07</v>
      </c>
      <c r="M22" s="335">
        <f>FLOOR(L22,1)</f>
        <v>7</v>
      </c>
      <c r="N22" s="335">
        <f>+L22-M22</f>
        <v>7.0000000000000284E-2</v>
      </c>
      <c r="O22" s="335">
        <f>+N22/100*60</f>
        <v>4.2000000000000169E-2</v>
      </c>
      <c r="P22" s="336">
        <f>IF(J22="","",O22+M22)</f>
        <v>7.0419999999999998</v>
      </c>
      <c r="Q22" s="572"/>
      <c r="R22" s="573"/>
      <c r="S22" s="573"/>
      <c r="T22" s="574"/>
      <c r="U22" s="442"/>
      <c r="V22" s="241">
        <f t="shared" si="15"/>
        <v>0</v>
      </c>
      <c r="W22" s="241">
        <f t="shared" si="27"/>
        <v>0</v>
      </c>
      <c r="X22" s="241">
        <f t="shared" si="16"/>
        <v>0</v>
      </c>
      <c r="Y22" s="275">
        <f t="shared" si="28"/>
        <v>0</v>
      </c>
      <c r="Z22" s="442"/>
      <c r="AA22" s="442"/>
      <c r="AB22" s="442"/>
      <c r="AC22" s="442"/>
      <c r="AD22" s="442"/>
      <c r="AE22" s="241">
        <f t="shared" si="17"/>
        <v>0</v>
      </c>
      <c r="AF22" s="241">
        <f t="shared" si="20"/>
        <v>0</v>
      </c>
      <c r="AG22" s="241">
        <f t="shared" si="18"/>
        <v>0</v>
      </c>
      <c r="AH22" s="443">
        <f t="shared" si="21"/>
        <v>0</v>
      </c>
      <c r="AI22" s="442"/>
      <c r="AJ22" s="442"/>
      <c r="AK22" s="442"/>
      <c r="AL22" s="442"/>
      <c r="AM22" s="442"/>
      <c r="AN22" s="476"/>
      <c r="AO22" s="241">
        <f t="shared" si="5"/>
        <v>0</v>
      </c>
      <c r="AP22" s="241">
        <f t="shared" si="29"/>
        <v>0</v>
      </c>
      <c r="AQ22" s="241">
        <f t="shared" si="7"/>
        <v>0</v>
      </c>
      <c r="AR22" s="443">
        <f t="shared" si="30"/>
        <v>0</v>
      </c>
      <c r="AS22" s="444"/>
      <c r="AT22" s="444"/>
      <c r="AU22" s="444"/>
      <c r="AV22" s="445"/>
      <c r="BA22" s="345"/>
      <c r="BB22" s="345"/>
      <c r="BC22" s="345"/>
      <c r="BD22" s="345"/>
      <c r="BE22" s="345"/>
      <c r="BF22" s="345"/>
      <c r="BH22" s="339">
        <f>IF($K22&gt;=0,+SUM(L$9:$L22)-$B22+Jan!$BA$41+SUM(AR$9:$AR22)," ")-0.009</f>
        <v>-2.3333333333251851E-3</v>
      </c>
      <c r="BI22" s="330">
        <f t="shared" si="32"/>
        <v>-1</v>
      </c>
      <c r="BJ22" s="331">
        <f t="shared" si="34"/>
        <v>0</v>
      </c>
      <c r="BK22" s="331">
        <f t="shared" si="35"/>
        <v>-2.3333333333251851E-3</v>
      </c>
      <c r="BL22" s="331">
        <f t="shared" si="33"/>
        <v>-1.3999999999951111E-3</v>
      </c>
      <c r="BM22" s="337">
        <f t="shared" si="8"/>
        <v>-1.3999999999951111E-3</v>
      </c>
      <c r="BN22" s="340">
        <f t="shared" si="26"/>
        <v>7.0419999999999998</v>
      </c>
      <c r="BO22" s="288">
        <f t="shared" si="19"/>
        <v>2</v>
      </c>
    </row>
    <row r="23" spans="1:67" ht="15.95" customHeight="1" x14ac:dyDescent="0.25">
      <c r="A23" s="341"/>
      <c r="B23" s="342">
        <f>IF($I23&lt;&gt;"",IF(WEEKDAY($I23,2)&lt;6,IF(VLOOKUP(WEEKDAY($I23,2),InputUge,3)&gt;0,IF($A23="",VLOOKUP(WEEKDAY($I23,2),InputUge,3)+MAX(B$8:B22),IF($A23&lt;VLOOKUP(WEEKDAY($I23,2),InputUge,3),$A23+MAX(B$8:B22),VLOOKUP(WEEKDAY($I23,2),InputUge,3)+MAX(B$8:B22))),""),""),"")</f>
        <v>81.08</v>
      </c>
      <c r="C23" s="330">
        <f t="shared" si="9"/>
        <v>1</v>
      </c>
      <c r="D23" s="331">
        <f t="shared" si="10"/>
        <v>81</v>
      </c>
      <c r="E23" s="331">
        <f t="shared" si="11"/>
        <v>7.9999999999998295E-2</v>
      </c>
      <c r="F23" s="331">
        <f t="shared" si="12"/>
        <v>4.7999999999998974E-2</v>
      </c>
      <c r="G23" s="261">
        <f t="shared" si="31"/>
        <v>81.048000000000002</v>
      </c>
      <c r="H23" s="343">
        <v>15</v>
      </c>
      <c r="I23" s="344">
        <f>+I22+1</f>
        <v>41289</v>
      </c>
      <c r="J23" s="6">
        <v>0.34814814814814815</v>
      </c>
      <c r="K23" s="6">
        <v>0.64236111111111105</v>
      </c>
      <c r="L23" s="334">
        <f>IF(K23&gt;0,ROUND(((K23-J23)*24)-SUM(BS23:BT23)+BU23,2)+IF(Fredagsfrokost="n",IF(WEEKDAY($I23,2)=5,IF(K23&gt;=0.5,IF(K23&lt;=13/24,0,0),0),0),0),IF(AX23&gt;0,AX23,""))</f>
        <v>7.06</v>
      </c>
      <c r="M23" s="335">
        <f>FLOOR(L23,1)</f>
        <v>7</v>
      </c>
      <c r="N23" s="335">
        <f>+L23-M23</f>
        <v>5.9999999999999609E-2</v>
      </c>
      <c r="O23" s="335">
        <f>+N23/100*60</f>
        <v>3.5999999999999761E-2</v>
      </c>
      <c r="P23" s="336">
        <f>IF(J23="","",O23+M23)</f>
        <v>7.0359999999999996</v>
      </c>
      <c r="Q23" s="572"/>
      <c r="R23" s="573"/>
      <c r="S23" s="573"/>
      <c r="T23" s="574"/>
      <c r="U23" s="442"/>
      <c r="V23" s="241">
        <f t="shared" si="15"/>
        <v>0</v>
      </c>
      <c r="W23" s="241">
        <f t="shared" si="27"/>
        <v>0</v>
      </c>
      <c r="X23" s="241">
        <f t="shared" si="16"/>
        <v>0</v>
      </c>
      <c r="Y23" s="275">
        <f t="shared" si="28"/>
        <v>0</v>
      </c>
      <c r="Z23" s="442"/>
      <c r="AA23" s="442"/>
      <c r="AB23" s="442"/>
      <c r="AC23" s="442"/>
      <c r="AD23" s="442"/>
      <c r="AE23" s="241">
        <f t="shared" si="17"/>
        <v>0</v>
      </c>
      <c r="AF23" s="241">
        <f t="shared" si="20"/>
        <v>0</v>
      </c>
      <c r="AG23" s="241">
        <f t="shared" si="18"/>
        <v>0</v>
      </c>
      <c r="AH23" s="443">
        <f t="shared" si="21"/>
        <v>0</v>
      </c>
      <c r="AI23" s="442"/>
      <c r="AJ23" s="442"/>
      <c r="AK23" s="442"/>
      <c r="AL23" s="442"/>
      <c r="AM23" s="442"/>
      <c r="AN23" s="476"/>
      <c r="AO23" s="241">
        <f t="shared" si="5"/>
        <v>0</v>
      </c>
      <c r="AP23" s="241">
        <f t="shared" si="29"/>
        <v>0</v>
      </c>
      <c r="AQ23" s="241">
        <f t="shared" si="7"/>
        <v>0</v>
      </c>
      <c r="AR23" s="443">
        <f t="shared" si="30"/>
        <v>0</v>
      </c>
      <c r="AS23" s="444"/>
      <c r="AT23" s="444"/>
      <c r="AU23" s="444"/>
      <c r="AV23" s="445"/>
      <c r="BA23" s="345"/>
      <c r="BB23" s="345"/>
      <c r="BC23" s="345"/>
      <c r="BD23" s="345"/>
      <c r="BE23" s="345"/>
      <c r="BF23" s="345"/>
      <c r="BH23" s="339">
        <f>IF($K23&gt;=0,+SUM(L$9:$L23)-$B23+Jan!$BA$41+SUM(AR$9:$AR23)," ")-0.005</f>
        <v>-4.9999999999857892E-3</v>
      </c>
      <c r="BI23" s="330">
        <f t="shared" si="32"/>
        <v>-1</v>
      </c>
      <c r="BJ23" s="331">
        <f t="shared" si="34"/>
        <v>0</v>
      </c>
      <c r="BK23" s="331">
        <f t="shared" si="35"/>
        <v>-4.9999999999857892E-3</v>
      </c>
      <c r="BL23" s="331">
        <f t="shared" si="33"/>
        <v>-2.9999999999914735E-3</v>
      </c>
      <c r="BM23" s="337">
        <f t="shared" si="8"/>
        <v>-2.9999999999914735E-3</v>
      </c>
      <c r="BN23" s="340">
        <f t="shared" si="26"/>
        <v>7.0359999999999996</v>
      </c>
      <c r="BO23" s="288">
        <f t="shared" si="19"/>
        <v>2</v>
      </c>
    </row>
    <row r="24" spans="1:67" ht="15.95" customHeight="1" x14ac:dyDescent="0.25">
      <c r="A24" s="341"/>
      <c r="B24" s="342">
        <f>IF($I24&lt;&gt;"",IF(WEEKDAY($I24,2)&lt;6,IF(VLOOKUP(WEEKDAY($I24,2),InputUge,3)&gt;0,IF($A24="",VLOOKUP(WEEKDAY($I24,2),InputUge,3)+MAX(B$8:B23),IF($A24&lt;VLOOKUP(WEEKDAY($I24,2),InputUge,3),$A24+MAX(B$8:B23),VLOOKUP(WEEKDAY($I24,2),InputUge,3)+MAX(B$8:B23))),""),""),"")</f>
        <v>88.146666666666661</v>
      </c>
      <c r="C24" s="330">
        <f t="shared" si="9"/>
        <v>1</v>
      </c>
      <c r="D24" s="331">
        <f t="shared" si="10"/>
        <v>88</v>
      </c>
      <c r="E24" s="331">
        <f t="shared" si="11"/>
        <v>0.14666666666666117</v>
      </c>
      <c r="F24" s="331">
        <f t="shared" si="12"/>
        <v>8.7999999999996706E-2</v>
      </c>
      <c r="G24" s="261">
        <f t="shared" si="31"/>
        <v>88.087999999999994</v>
      </c>
      <c r="H24" s="343">
        <v>16</v>
      </c>
      <c r="I24" s="344">
        <f t="shared" si="13"/>
        <v>41290</v>
      </c>
      <c r="J24" s="6">
        <v>0.34791666666666665</v>
      </c>
      <c r="K24" s="6">
        <v>0.64236111111111105</v>
      </c>
      <c r="L24" s="334">
        <f>IF(K24&gt;0,ROUND(((K24-J24)*24)-SUM(BS24:BT24)+BU24,2)+IF(Fredagsfrokost="n",IF(WEEKDAY($I24,2)=5,IF(K24&gt;=0.5,IF(K24&lt;=13/24,0,0),0),0),0),IF(AX24&gt;0,AX24,""))</f>
        <v>7.07</v>
      </c>
      <c r="M24" s="335">
        <f>FLOOR(L24,1)</f>
        <v>7</v>
      </c>
      <c r="N24" s="335">
        <f>+L24-M24</f>
        <v>7.0000000000000284E-2</v>
      </c>
      <c r="O24" s="335">
        <f>+N24/100*60</f>
        <v>4.2000000000000169E-2</v>
      </c>
      <c r="P24" s="336">
        <f>IF(J24="","",O24+M24)</f>
        <v>7.0419999999999998</v>
      </c>
      <c r="Q24" s="572"/>
      <c r="R24" s="573"/>
      <c r="S24" s="573"/>
      <c r="T24" s="574"/>
      <c r="U24" s="442"/>
      <c r="V24" s="241">
        <f t="shared" si="15"/>
        <v>0</v>
      </c>
      <c r="W24" s="241">
        <f t="shared" si="27"/>
        <v>0</v>
      </c>
      <c r="X24" s="241">
        <f t="shared" si="16"/>
        <v>0</v>
      </c>
      <c r="Y24" s="275">
        <f t="shared" si="28"/>
        <v>0</v>
      </c>
      <c r="Z24" s="442"/>
      <c r="AA24" s="442"/>
      <c r="AB24" s="442"/>
      <c r="AC24" s="442"/>
      <c r="AD24" s="442"/>
      <c r="AE24" s="241">
        <f t="shared" si="17"/>
        <v>0</v>
      </c>
      <c r="AF24" s="241">
        <f t="shared" si="20"/>
        <v>0</v>
      </c>
      <c r="AG24" s="241">
        <f t="shared" si="18"/>
        <v>0</v>
      </c>
      <c r="AH24" s="443">
        <f t="shared" si="21"/>
        <v>0</v>
      </c>
      <c r="AI24" s="442"/>
      <c r="AJ24" s="442"/>
      <c r="AK24" s="442"/>
      <c r="AL24" s="442"/>
      <c r="AM24" s="442"/>
      <c r="AN24" s="476"/>
      <c r="AO24" s="241">
        <f t="shared" ref="AO24:AO38" si="36">FLOOR(AN24,1)</f>
        <v>0</v>
      </c>
      <c r="AP24" s="241">
        <f t="shared" si="6"/>
        <v>0</v>
      </c>
      <c r="AQ24" s="241">
        <f t="shared" ref="AQ24:AQ39" si="37">+AP24/60*100</f>
        <v>0</v>
      </c>
      <c r="AR24" s="443">
        <f t="shared" si="14"/>
        <v>0</v>
      </c>
      <c r="AS24" s="444"/>
      <c r="AT24" s="444"/>
      <c r="AU24" s="444"/>
      <c r="AV24" s="445"/>
      <c r="BA24" s="345"/>
      <c r="BB24" s="345"/>
      <c r="BC24" s="345"/>
      <c r="BD24" s="345"/>
      <c r="BE24" s="345"/>
      <c r="BF24" s="345"/>
      <c r="BH24" s="339">
        <f>IF($K24&gt;=0,+SUM(L$9:$L24)-$B24+Jan!$BA$41+SUM(AR$9:$AR24)," ")-0.009</f>
        <v>-5.6666666666554868E-3</v>
      </c>
      <c r="BI24" s="330">
        <f t="shared" si="32"/>
        <v>-1</v>
      </c>
      <c r="BJ24" s="331">
        <f t="shared" si="34"/>
        <v>0</v>
      </c>
      <c r="BK24" s="331">
        <f t="shared" si="35"/>
        <v>-5.6666666666554868E-3</v>
      </c>
      <c r="BL24" s="331">
        <f t="shared" si="33"/>
        <v>-3.3999999999932921E-3</v>
      </c>
      <c r="BM24" s="337">
        <f t="shared" si="8"/>
        <v>-3.3999999999932921E-3</v>
      </c>
      <c r="BN24" s="340">
        <f t="shared" si="26"/>
        <v>7.0419999999999998</v>
      </c>
      <c r="BO24" s="288">
        <f t="shared" si="19"/>
        <v>2</v>
      </c>
    </row>
    <row r="25" spans="1:67" ht="15.95" customHeight="1" x14ac:dyDescent="0.25">
      <c r="A25" s="341"/>
      <c r="B25" s="342">
        <f>IF($I25&lt;&gt;"",IF(WEEKDAY($I25,2)&lt;6,IF(VLOOKUP(WEEKDAY($I25,2),InputUge,3)&gt;0,IF($A25="",VLOOKUP(WEEKDAY($I25,2),InputUge,3)+MAX(B$8:B24),IF($A25&lt;VLOOKUP(WEEKDAY($I25,2),InputUge,3),$A25+MAX(B$8:B24),VLOOKUP(WEEKDAY($I25,2),InputUge,3)+MAX(B$8:B24))),""),""),"")</f>
        <v>97.556666666666658</v>
      </c>
      <c r="C25" s="330">
        <f t="shared" si="9"/>
        <v>1</v>
      </c>
      <c r="D25" s="331">
        <f t="shared" si="10"/>
        <v>97</v>
      </c>
      <c r="E25" s="331">
        <f t="shared" si="11"/>
        <v>0.55666666666665776</v>
      </c>
      <c r="F25" s="331">
        <f t="shared" si="12"/>
        <v>0.33399999999999463</v>
      </c>
      <c r="G25" s="261">
        <f t="shared" si="31"/>
        <v>97.333999999999989</v>
      </c>
      <c r="H25" s="343">
        <v>17</v>
      </c>
      <c r="I25" s="344">
        <f t="shared" si="13"/>
        <v>41291</v>
      </c>
      <c r="J25" s="6">
        <v>0.34791666666666665</v>
      </c>
      <c r="K25" s="6">
        <v>0.73958333333333337</v>
      </c>
      <c r="L25" s="334">
        <f>IF(K25&gt;0,ROUND(((K25-J25)*24)-SUM(BS25:BT25)+BU25,2)+IF(Fredagsfrokost="n",IF(WEEKDAY($I25,2)=5,IF(K25&gt;=0.5,IF(K25&lt;=13/24,0,0),0),0),0),IF(AX25&gt;0,AX25,""))</f>
        <v>9.4</v>
      </c>
      <c r="M25" s="335">
        <f>FLOOR(L25,1)</f>
        <v>9</v>
      </c>
      <c r="N25" s="335">
        <f>+L25-M25</f>
        <v>0.40000000000000036</v>
      </c>
      <c r="O25" s="335">
        <f>+N25/100*60</f>
        <v>0.24000000000000021</v>
      </c>
      <c r="P25" s="336">
        <f>IF(J25="","",O25+M25)</f>
        <v>9.24</v>
      </c>
      <c r="Q25" s="572"/>
      <c r="R25" s="573"/>
      <c r="S25" s="573"/>
      <c r="T25" s="574"/>
      <c r="U25" s="442"/>
      <c r="V25" s="241">
        <f t="shared" si="15"/>
        <v>0</v>
      </c>
      <c r="W25" s="241">
        <f t="shared" si="27"/>
        <v>0</v>
      </c>
      <c r="X25" s="241">
        <f t="shared" si="16"/>
        <v>0</v>
      </c>
      <c r="Y25" s="275">
        <f t="shared" si="28"/>
        <v>0</v>
      </c>
      <c r="Z25" s="442"/>
      <c r="AA25" s="442"/>
      <c r="AB25" s="442"/>
      <c r="AC25" s="442"/>
      <c r="AD25" s="442"/>
      <c r="AE25" s="241">
        <f t="shared" si="17"/>
        <v>0</v>
      </c>
      <c r="AF25" s="241">
        <f t="shared" si="20"/>
        <v>0</v>
      </c>
      <c r="AG25" s="241">
        <f t="shared" si="18"/>
        <v>0</v>
      </c>
      <c r="AH25" s="443">
        <f t="shared" si="21"/>
        <v>0</v>
      </c>
      <c r="AI25" s="442"/>
      <c r="AJ25" s="442"/>
      <c r="AK25" s="442"/>
      <c r="AL25" s="442"/>
      <c r="AM25" s="442"/>
      <c r="AN25" s="476"/>
      <c r="AO25" s="241">
        <f t="shared" si="36"/>
        <v>0</v>
      </c>
      <c r="AP25" s="241">
        <f t="shared" si="6"/>
        <v>0</v>
      </c>
      <c r="AQ25" s="241">
        <f t="shared" si="37"/>
        <v>0</v>
      </c>
      <c r="AR25" s="443">
        <f t="shared" si="14"/>
        <v>0</v>
      </c>
      <c r="AS25" s="444"/>
      <c r="AT25" s="444"/>
      <c r="AU25" s="444"/>
      <c r="AV25" s="445"/>
      <c r="BA25" s="345"/>
      <c r="BB25" s="345"/>
      <c r="BC25" s="345"/>
      <c r="BD25" s="345"/>
      <c r="BE25" s="345"/>
      <c r="BF25" s="345"/>
      <c r="BH25" s="339">
        <f>IF($K25&gt;=0,+SUM(L$9:$L25)-$B25+Jan!$BA$41+SUM(AR$9:$AR25)," ")</f>
        <v>-6.6666666666463925E-3</v>
      </c>
      <c r="BI25" s="330">
        <f t="shared" si="32"/>
        <v>-1</v>
      </c>
      <c r="BJ25" s="331">
        <f t="shared" si="34"/>
        <v>0</v>
      </c>
      <c r="BK25" s="331">
        <f t="shared" si="35"/>
        <v>-6.6666666666463925E-3</v>
      </c>
      <c r="BL25" s="331">
        <f t="shared" si="33"/>
        <v>-3.9999999999878353E-3</v>
      </c>
      <c r="BM25" s="337">
        <f t="shared" si="8"/>
        <v>-3.9999999999878353E-3</v>
      </c>
      <c r="BN25" s="340">
        <f t="shared" si="26"/>
        <v>9.24</v>
      </c>
      <c r="BO25" s="288">
        <f t="shared" si="19"/>
        <v>2</v>
      </c>
    </row>
    <row r="26" spans="1:67" ht="15.95" customHeight="1" x14ac:dyDescent="0.25">
      <c r="A26" s="341"/>
      <c r="B26" s="342">
        <f>IF($I26&lt;&gt;"",IF(WEEKDAY($I26,2)&lt;6,IF(VLOOKUP(WEEKDAY($I26,2),InputUge,3)&gt;0,IF($A26="",VLOOKUP(WEEKDAY($I26,2),InputUge,3)+MAX(B$8:B25),IF($A26&lt;VLOOKUP(WEEKDAY($I26,2),InputUge,3),$A26+MAX(B$8:B25),VLOOKUP(WEEKDAY($I26,2),InputUge,3)+MAX(B$8:B25))),""),""),"")</f>
        <v>103.95666666666666</v>
      </c>
      <c r="C26" s="330">
        <f t="shared" si="9"/>
        <v>1</v>
      </c>
      <c r="D26" s="331">
        <f t="shared" si="10"/>
        <v>103</v>
      </c>
      <c r="E26" s="331">
        <f t="shared" si="11"/>
        <v>0.95666666666666345</v>
      </c>
      <c r="F26" s="331">
        <f t="shared" si="12"/>
        <v>0.57399999999999807</v>
      </c>
      <c r="G26" s="261">
        <f t="shared" si="31"/>
        <v>103.574</v>
      </c>
      <c r="H26" s="343">
        <v>18</v>
      </c>
      <c r="I26" s="344">
        <f t="shared" si="13"/>
        <v>41292</v>
      </c>
      <c r="J26" s="6">
        <v>0.34791666666666665</v>
      </c>
      <c r="K26" s="6">
        <v>0.61481481481481481</v>
      </c>
      <c r="L26" s="334">
        <f>IF(K26&gt;0,ROUND(((K26-J26)*24)-SUM(BS26:BT26)+BU26,2)+IF(Fredagsfrokost="n",IF(WEEKDAY($I26,2)=5,IF(K26&gt;=0.5,IF(K26&lt;=13/24,0,0),0),0),0),IF(AX26&gt;0,AX26,""))</f>
        <v>6.41</v>
      </c>
      <c r="M26" s="335">
        <f>FLOOR(L26,1)</f>
        <v>6</v>
      </c>
      <c r="N26" s="335">
        <f>+L26-M26</f>
        <v>0.41000000000000014</v>
      </c>
      <c r="O26" s="335">
        <f>+N26/100*60</f>
        <v>0.24600000000000008</v>
      </c>
      <c r="P26" s="336">
        <f>IF(J26="","",O26+M26)</f>
        <v>6.2460000000000004</v>
      </c>
      <c r="Q26" s="572"/>
      <c r="R26" s="573"/>
      <c r="S26" s="573"/>
      <c r="T26" s="574"/>
      <c r="U26" s="442"/>
      <c r="V26" s="241">
        <f t="shared" si="15"/>
        <v>0</v>
      </c>
      <c r="W26" s="241">
        <f>+U26-V26</f>
        <v>0</v>
      </c>
      <c r="X26" s="241">
        <f t="shared" si="16"/>
        <v>0</v>
      </c>
      <c r="Y26" s="275">
        <f>+X26+V26</f>
        <v>0</v>
      </c>
      <c r="Z26" s="442"/>
      <c r="AA26" s="442"/>
      <c r="AB26" s="442"/>
      <c r="AC26" s="442"/>
      <c r="AD26" s="442"/>
      <c r="AE26" s="241">
        <f t="shared" si="17"/>
        <v>0</v>
      </c>
      <c r="AF26" s="241">
        <f t="shared" si="20"/>
        <v>0</v>
      </c>
      <c r="AG26" s="241">
        <f t="shared" si="18"/>
        <v>0</v>
      </c>
      <c r="AH26" s="443">
        <f t="shared" si="21"/>
        <v>0</v>
      </c>
      <c r="AI26" s="442"/>
      <c r="AJ26" s="442"/>
      <c r="AK26" s="442"/>
      <c r="AL26" s="442"/>
      <c r="AM26" s="442"/>
      <c r="AN26" s="476"/>
      <c r="AO26" s="241">
        <f t="shared" si="36"/>
        <v>0</v>
      </c>
      <c r="AP26" s="241">
        <f t="shared" si="6"/>
        <v>0</v>
      </c>
      <c r="AQ26" s="241">
        <f t="shared" si="37"/>
        <v>0</v>
      </c>
      <c r="AR26" s="443">
        <f t="shared" si="14"/>
        <v>0</v>
      </c>
      <c r="AS26" s="444"/>
      <c r="AT26" s="444"/>
      <c r="AU26" s="444"/>
      <c r="AV26" s="445"/>
      <c r="BA26" s="345"/>
      <c r="BB26" s="345"/>
      <c r="BC26" s="345"/>
      <c r="BD26" s="345"/>
      <c r="BE26" s="345"/>
      <c r="BF26" s="345"/>
      <c r="BH26" s="339">
        <f>IF($K26&gt;=0,+SUM(L$9:$L26)-$B26+Jan!$BA$41+SUM(AR$9:$AR26)," ")</f>
        <v>3.3333333333445125E-3</v>
      </c>
      <c r="BI26" s="330">
        <f t="shared" ref="BI26:BI32" si="38">IF(BH26&lt;0,-1,1)</f>
        <v>1</v>
      </c>
      <c r="BJ26" s="331">
        <f t="shared" ref="BJ26:BJ32" si="39">FLOOR(BH26,BI26)</f>
        <v>0</v>
      </c>
      <c r="BK26" s="331">
        <f t="shared" ref="BK26:BK32" si="40">+BH26-BJ26</f>
        <v>3.3333333333445125E-3</v>
      </c>
      <c r="BL26" s="331">
        <f t="shared" ref="BL26:BL32" si="41">+BK26/100*60</f>
        <v>2.0000000000067073E-3</v>
      </c>
      <c r="BM26" s="337">
        <f t="shared" si="8"/>
        <v>2.0000000000067073E-3</v>
      </c>
      <c r="BN26" s="340">
        <f t="shared" si="26"/>
        <v>6.2460000000000004</v>
      </c>
      <c r="BO26" s="288">
        <f t="shared" si="19"/>
        <v>2</v>
      </c>
    </row>
    <row r="27" spans="1:67" ht="15.95" customHeight="1" x14ac:dyDescent="0.25">
      <c r="A27" s="341"/>
      <c r="B27" s="342" t="str">
        <f>IF($I27&lt;&gt;"",IF(WEEKDAY($I27,2)&lt;6,IF(VLOOKUP(WEEKDAY($I27,2),InputUge,3)&gt;0,IF($A27="",VLOOKUP(WEEKDAY($I27,2),InputUge,3)+MAX(B$8:B26),IF($A27&lt;VLOOKUP(WEEKDAY($I27,2),InputUge,3),$A27+MAX(B$8:B26),VLOOKUP(WEEKDAY($I27,2),InputUge,3)+MAX(B$8:B26))),""),""),"")</f>
        <v/>
      </c>
      <c r="C27" s="330">
        <f t="shared" si="9"/>
        <v>1</v>
      </c>
      <c r="D27" s="331" t="e">
        <f t="shared" si="10"/>
        <v>#VALUE!</v>
      </c>
      <c r="E27" s="331" t="e">
        <f t="shared" si="11"/>
        <v>#VALUE!</v>
      </c>
      <c r="F27" s="331" t="e">
        <f t="shared" si="12"/>
        <v>#VALUE!</v>
      </c>
      <c r="G27" s="261"/>
      <c r="H27" s="343">
        <v>19</v>
      </c>
      <c r="I27" s="344">
        <f t="shared" si="13"/>
        <v>41293</v>
      </c>
      <c r="J27" s="6"/>
      <c r="K27" s="6"/>
      <c r="L27" s="334"/>
      <c r="M27" s="335"/>
      <c r="N27" s="335"/>
      <c r="O27" s="335"/>
      <c r="P27" s="336"/>
      <c r="Q27" s="572"/>
      <c r="R27" s="573"/>
      <c r="S27" s="573"/>
      <c r="T27" s="574"/>
      <c r="U27" s="442"/>
      <c r="V27" s="241">
        <f t="shared" si="15"/>
        <v>0</v>
      </c>
      <c r="W27" s="241">
        <f>+U27-V27</f>
        <v>0</v>
      </c>
      <c r="X27" s="241">
        <f t="shared" si="16"/>
        <v>0</v>
      </c>
      <c r="Y27" s="275">
        <f>+X27+V27</f>
        <v>0</v>
      </c>
      <c r="Z27" s="442"/>
      <c r="AA27" s="442"/>
      <c r="AB27" s="442"/>
      <c r="AC27" s="442"/>
      <c r="AD27" s="442"/>
      <c r="AE27" s="241">
        <f t="shared" si="17"/>
        <v>0</v>
      </c>
      <c r="AF27" s="241">
        <f t="shared" si="20"/>
        <v>0</v>
      </c>
      <c r="AG27" s="241">
        <f t="shared" si="18"/>
        <v>0</v>
      </c>
      <c r="AH27" s="443">
        <f t="shared" si="21"/>
        <v>0</v>
      </c>
      <c r="AI27" s="442"/>
      <c r="AJ27" s="442"/>
      <c r="AK27" s="442"/>
      <c r="AL27" s="442"/>
      <c r="AM27" s="442"/>
      <c r="AN27" s="476"/>
      <c r="AO27" s="241">
        <f t="shared" si="36"/>
        <v>0</v>
      </c>
      <c r="AP27" s="241">
        <f t="shared" si="6"/>
        <v>0</v>
      </c>
      <c r="AQ27" s="241">
        <f t="shared" si="37"/>
        <v>0</v>
      </c>
      <c r="AR27" s="443">
        <f t="shared" si="14"/>
        <v>0</v>
      </c>
      <c r="AS27" s="444"/>
      <c r="AT27" s="444"/>
      <c r="AU27" s="444"/>
      <c r="AV27" s="445"/>
      <c r="BA27" s="345"/>
      <c r="BB27" s="345"/>
      <c r="BC27" s="345"/>
      <c r="BD27" s="345"/>
      <c r="BE27" s="345"/>
      <c r="BF27" s="345"/>
      <c r="BH27" s="339" t="e">
        <f>IF($K27&gt;=0,+SUM(L$9:$L27)-$B27+Jan!$BA$41+SUM(AR$9:$AR27)," ")</f>
        <v>#VALUE!</v>
      </c>
      <c r="BI27" s="330" t="e">
        <f t="shared" si="38"/>
        <v>#VALUE!</v>
      </c>
      <c r="BJ27" s="331" t="e">
        <f t="shared" si="39"/>
        <v>#VALUE!</v>
      </c>
      <c r="BK27" s="331" t="e">
        <f t="shared" si="40"/>
        <v>#VALUE!</v>
      </c>
      <c r="BL27" s="331" t="e">
        <f t="shared" si="41"/>
        <v>#VALUE!</v>
      </c>
      <c r="BM27" s="337"/>
      <c r="BN27" s="340">
        <f t="shared" si="26"/>
        <v>0</v>
      </c>
      <c r="BO27" s="288">
        <f t="shared" si="19"/>
        <v>2</v>
      </c>
    </row>
    <row r="28" spans="1:67" ht="15.95" customHeight="1" x14ac:dyDescent="0.25">
      <c r="A28" s="341"/>
      <c r="B28" s="342" t="str">
        <f>IF($I28&lt;&gt;"",IF(WEEKDAY($I28,2)&lt;6,IF(VLOOKUP(WEEKDAY($I28,2),InputUge,3)&gt;0,IF($A28="",VLOOKUP(WEEKDAY($I28,2),InputUge,3)+MAX(B$8:B27),IF($A28&lt;VLOOKUP(WEEKDAY($I28,2),InputUge,3),$A28+MAX(B$8:B27),VLOOKUP(WEEKDAY($I28,2),InputUge,3)+MAX(B$8:B27))),""),""),"")</f>
        <v/>
      </c>
      <c r="C28" s="330">
        <f t="shared" si="9"/>
        <v>1</v>
      </c>
      <c r="D28" s="331" t="e">
        <f t="shared" si="10"/>
        <v>#VALUE!</v>
      </c>
      <c r="E28" s="331" t="e">
        <f t="shared" si="11"/>
        <v>#VALUE!</v>
      </c>
      <c r="F28" s="331" t="e">
        <f t="shared" si="12"/>
        <v>#VALUE!</v>
      </c>
      <c r="G28" s="261"/>
      <c r="H28" s="343">
        <v>20</v>
      </c>
      <c r="I28" s="344">
        <f t="shared" si="13"/>
        <v>41294</v>
      </c>
      <c r="J28" s="6"/>
      <c r="K28" s="6"/>
      <c r="L28" s="334"/>
      <c r="M28" s="335"/>
      <c r="N28" s="335"/>
      <c r="O28" s="335"/>
      <c r="P28" s="336"/>
      <c r="Q28" s="572"/>
      <c r="R28" s="573"/>
      <c r="S28" s="573"/>
      <c r="T28" s="574"/>
      <c r="U28" s="442"/>
      <c r="V28" s="241">
        <f t="shared" si="15"/>
        <v>0</v>
      </c>
      <c r="W28" s="241">
        <f>+U28-V28</f>
        <v>0</v>
      </c>
      <c r="X28" s="241">
        <f t="shared" si="16"/>
        <v>0</v>
      </c>
      <c r="Y28" s="275">
        <f>+X28+V28</f>
        <v>0</v>
      </c>
      <c r="Z28" s="442"/>
      <c r="AA28" s="442"/>
      <c r="AB28" s="442"/>
      <c r="AC28" s="442"/>
      <c r="AD28" s="442"/>
      <c r="AE28" s="241">
        <f t="shared" si="17"/>
        <v>0</v>
      </c>
      <c r="AF28" s="241">
        <f t="shared" si="20"/>
        <v>0</v>
      </c>
      <c r="AG28" s="241">
        <f t="shared" si="18"/>
        <v>0</v>
      </c>
      <c r="AH28" s="443">
        <f t="shared" si="21"/>
        <v>0</v>
      </c>
      <c r="AI28" s="442"/>
      <c r="AJ28" s="442"/>
      <c r="AK28" s="442"/>
      <c r="AL28" s="442"/>
      <c r="AM28" s="442"/>
      <c r="AN28" s="476"/>
      <c r="AO28" s="241">
        <f t="shared" si="36"/>
        <v>0</v>
      </c>
      <c r="AP28" s="241">
        <f t="shared" si="6"/>
        <v>0</v>
      </c>
      <c r="AQ28" s="241">
        <f t="shared" si="37"/>
        <v>0</v>
      </c>
      <c r="AR28" s="443">
        <f t="shared" si="14"/>
        <v>0</v>
      </c>
      <c r="AS28" s="444"/>
      <c r="AT28" s="444"/>
      <c r="AU28" s="444"/>
      <c r="AV28" s="445"/>
      <c r="BA28" s="345"/>
      <c r="BB28" s="345"/>
      <c r="BC28" s="345"/>
      <c r="BD28" s="345"/>
      <c r="BE28" s="345"/>
      <c r="BF28" s="345"/>
      <c r="BH28" s="339" t="e">
        <f>IF($K28&gt;=0,+SUM(L$9:$L28)-$B28+Jan!$BA$41+SUM(AR$9:$AR28)," ")</f>
        <v>#VALUE!</v>
      </c>
      <c r="BI28" s="330" t="e">
        <f t="shared" si="38"/>
        <v>#VALUE!</v>
      </c>
      <c r="BJ28" s="331" t="e">
        <f t="shared" si="39"/>
        <v>#VALUE!</v>
      </c>
      <c r="BK28" s="331" t="e">
        <f t="shared" si="40"/>
        <v>#VALUE!</v>
      </c>
      <c r="BL28" s="331" t="e">
        <f t="shared" si="41"/>
        <v>#VALUE!</v>
      </c>
      <c r="BM28" s="337"/>
      <c r="BN28" s="340">
        <f t="shared" si="26"/>
        <v>0</v>
      </c>
      <c r="BO28" s="288">
        <f t="shared" si="19"/>
        <v>2</v>
      </c>
    </row>
    <row r="29" spans="1:67" ht="15.95" customHeight="1" x14ac:dyDescent="0.25">
      <c r="A29" s="341"/>
      <c r="B29" s="342">
        <f>IF($I29&lt;&gt;"",IF(WEEKDAY($I29,2)&lt;6,IF(VLOOKUP(WEEKDAY($I29,2),InputUge,3)&gt;0,IF($A29="",VLOOKUP(WEEKDAY($I29,2),InputUge,3)+MAX(B$8:B28),IF($A29&lt;VLOOKUP(WEEKDAY($I29,2),InputUge,3),$A29+MAX(B$8:B28),VLOOKUP(WEEKDAY($I29,2),InputUge,3)+MAX(B$8:B28))),""),""),"")</f>
        <v>111.02</v>
      </c>
      <c r="C29" s="330">
        <f t="shared" si="9"/>
        <v>1</v>
      </c>
      <c r="D29" s="331">
        <f t="shared" si="10"/>
        <v>111</v>
      </c>
      <c r="E29" s="331">
        <f t="shared" si="11"/>
        <v>1.9999999999996021E-2</v>
      </c>
      <c r="F29" s="331">
        <f t="shared" si="12"/>
        <v>1.1999999999997613E-2</v>
      </c>
      <c r="G29" s="261">
        <f t="shared" si="31"/>
        <v>111.012</v>
      </c>
      <c r="H29" s="343">
        <v>21</v>
      </c>
      <c r="I29" s="344">
        <f t="shared" si="13"/>
        <v>41295</v>
      </c>
      <c r="J29" s="6">
        <v>0.34791666666666665</v>
      </c>
      <c r="K29" s="6">
        <v>0.64269675925925929</v>
      </c>
      <c r="L29" s="334">
        <f>IF(K29&gt;0,ROUND(((K29-J29)*24)-SUM(BS29:BT29)+BU29,2)+IF(Fredagsfrokost="n",IF(WEEKDAY($I29,2)=5,IF(K29&gt;=0.5,IF(K29&lt;=13/24,0,0),0),0),0),IF(AX29&gt;0,AX29,""))</f>
        <v>7.07</v>
      </c>
      <c r="M29" s="335">
        <f>FLOOR(L29,1)</f>
        <v>7</v>
      </c>
      <c r="N29" s="335">
        <f>+L29-M29</f>
        <v>7.0000000000000284E-2</v>
      </c>
      <c r="O29" s="335">
        <f>+N29/100*60</f>
        <v>4.2000000000000169E-2</v>
      </c>
      <c r="P29" s="336">
        <f>IF(J29="","",O29+M29)</f>
        <v>7.0419999999999998</v>
      </c>
      <c r="Q29" s="572"/>
      <c r="R29" s="573"/>
      <c r="S29" s="573"/>
      <c r="T29" s="574"/>
      <c r="U29" s="442"/>
      <c r="V29" s="241">
        <f t="shared" si="15"/>
        <v>0</v>
      </c>
      <c r="W29" s="241">
        <f t="shared" si="27"/>
        <v>0</v>
      </c>
      <c r="X29" s="241">
        <f t="shared" si="16"/>
        <v>0</v>
      </c>
      <c r="Y29" s="275">
        <f t="shared" si="28"/>
        <v>0</v>
      </c>
      <c r="Z29" s="442"/>
      <c r="AA29" s="442"/>
      <c r="AB29" s="442"/>
      <c r="AC29" s="442"/>
      <c r="AD29" s="442"/>
      <c r="AE29" s="241">
        <f t="shared" ref="AE29:AE39" si="42">FLOOR(AD29,1)</f>
        <v>0</v>
      </c>
      <c r="AF29" s="241">
        <f t="shared" ref="AF29:AF39" si="43">+AD29-AE29</f>
        <v>0</v>
      </c>
      <c r="AG29" s="241">
        <f t="shared" ref="AG29:AG39" si="44">+AF29/60*100</f>
        <v>0</v>
      </c>
      <c r="AH29" s="443">
        <f t="shared" ref="AH29:AH39" si="45">+AG29+AE29</f>
        <v>0</v>
      </c>
      <c r="AI29" s="442"/>
      <c r="AJ29" s="442"/>
      <c r="AK29" s="442"/>
      <c r="AL29" s="442"/>
      <c r="AM29" s="442"/>
      <c r="AN29" s="476"/>
      <c r="AO29" s="241">
        <f t="shared" si="36"/>
        <v>0</v>
      </c>
      <c r="AP29" s="241">
        <f t="shared" si="6"/>
        <v>0</v>
      </c>
      <c r="AQ29" s="241">
        <f t="shared" si="37"/>
        <v>0</v>
      </c>
      <c r="AR29" s="443">
        <f t="shared" si="14"/>
        <v>0</v>
      </c>
      <c r="AS29" s="444"/>
      <c r="AT29" s="444"/>
      <c r="AU29" s="444"/>
      <c r="AV29" s="445"/>
      <c r="BA29" s="345"/>
      <c r="BB29" s="345"/>
      <c r="BC29" s="345"/>
      <c r="BD29" s="345"/>
      <c r="BE29" s="345"/>
      <c r="BF29" s="345"/>
      <c r="BH29" s="339">
        <f>IF($K29&gt;=0,+SUM(L$9:$L29)-$B29+Jan!$BA$41+SUM(AR$9:$AR29)," ")-0.009</f>
        <v>1.0000000000051166E-3</v>
      </c>
      <c r="BI29" s="330">
        <f t="shared" si="38"/>
        <v>1</v>
      </c>
      <c r="BJ29" s="331">
        <f t="shared" si="39"/>
        <v>0</v>
      </c>
      <c r="BK29" s="331">
        <f t="shared" si="40"/>
        <v>1.0000000000051166E-3</v>
      </c>
      <c r="BL29" s="331">
        <f t="shared" si="41"/>
        <v>6.0000000000306997E-4</v>
      </c>
      <c r="BM29" s="337">
        <f t="shared" si="8"/>
        <v>6.0000000000306997E-4</v>
      </c>
      <c r="BN29" s="340">
        <f t="shared" si="26"/>
        <v>7.0419999999999998</v>
      </c>
      <c r="BO29" s="288">
        <f t="shared" si="19"/>
        <v>2</v>
      </c>
    </row>
    <row r="30" spans="1:67" ht="15.95" customHeight="1" x14ac:dyDescent="0.25">
      <c r="A30" s="341"/>
      <c r="B30" s="342">
        <f>IF($I30&lt;&gt;"",IF(WEEKDAY($I30,2)&lt;6,IF(VLOOKUP(WEEKDAY($I30,2),InputUge,3)&gt;0,IF($A30="",VLOOKUP(WEEKDAY($I30,2),InputUge,3)+MAX(B$8:B29),IF($A30&lt;VLOOKUP(WEEKDAY($I30,2),InputUge,3),$A30+MAX(B$8:B29),VLOOKUP(WEEKDAY($I30,2),InputUge,3)+MAX(B$8:B29))),""),""),"")</f>
        <v>118.08666666666666</v>
      </c>
      <c r="C30" s="330">
        <f t="shared" si="9"/>
        <v>1</v>
      </c>
      <c r="D30" s="331">
        <f t="shared" si="10"/>
        <v>118</v>
      </c>
      <c r="E30" s="331">
        <f t="shared" si="11"/>
        <v>8.6666666666658898E-2</v>
      </c>
      <c r="F30" s="331">
        <f t="shared" si="12"/>
        <v>5.1999999999995342E-2</v>
      </c>
      <c r="G30" s="261">
        <f t="shared" si="31"/>
        <v>118.05199999999999</v>
      </c>
      <c r="H30" s="343">
        <v>22</v>
      </c>
      <c r="I30" s="344">
        <f t="shared" si="13"/>
        <v>41296</v>
      </c>
      <c r="J30" s="6">
        <v>0.34791666666666665</v>
      </c>
      <c r="K30" s="6">
        <v>0.64236111111111105</v>
      </c>
      <c r="L30" s="334">
        <f>IF(K30&gt;0,ROUND(((K30-J30)*24)-SUM(BS30:BT30)+BU30,2)+IF(Fredagsfrokost="n",IF(WEEKDAY($I30,2)=5,IF(K30&gt;=0.5,IF(K30&lt;=13/24,0,0),0),0),0),IF(AX30&gt;0,AX30,""))</f>
        <v>7.07</v>
      </c>
      <c r="M30" s="335">
        <f>FLOOR(L30,1)</f>
        <v>7</v>
      </c>
      <c r="N30" s="335">
        <f>+L30-M30</f>
        <v>7.0000000000000284E-2</v>
      </c>
      <c r="O30" s="335">
        <f>+N30/100*60</f>
        <v>4.2000000000000169E-2</v>
      </c>
      <c r="P30" s="336">
        <f>IF(J30="","",O30+M30)</f>
        <v>7.0419999999999998</v>
      </c>
      <c r="Q30" s="572"/>
      <c r="R30" s="573"/>
      <c r="S30" s="573"/>
      <c r="T30" s="574"/>
      <c r="U30" s="442"/>
      <c r="V30" s="241">
        <f t="shared" si="15"/>
        <v>0</v>
      </c>
      <c r="W30" s="241">
        <f t="shared" si="27"/>
        <v>0</v>
      </c>
      <c r="X30" s="241">
        <f t="shared" si="16"/>
        <v>0</v>
      </c>
      <c r="Y30" s="275">
        <f t="shared" si="28"/>
        <v>0</v>
      </c>
      <c r="Z30" s="442"/>
      <c r="AA30" s="442"/>
      <c r="AB30" s="442"/>
      <c r="AC30" s="442"/>
      <c r="AD30" s="442"/>
      <c r="AE30" s="241">
        <f t="shared" si="42"/>
        <v>0</v>
      </c>
      <c r="AF30" s="241">
        <f t="shared" si="43"/>
        <v>0</v>
      </c>
      <c r="AG30" s="241">
        <f t="shared" si="44"/>
        <v>0</v>
      </c>
      <c r="AH30" s="443">
        <f t="shared" si="45"/>
        <v>0</v>
      </c>
      <c r="AI30" s="442"/>
      <c r="AJ30" s="442"/>
      <c r="AK30" s="442"/>
      <c r="AL30" s="442"/>
      <c r="AM30" s="442"/>
      <c r="AN30" s="476"/>
      <c r="AO30" s="241">
        <f t="shared" si="36"/>
        <v>0</v>
      </c>
      <c r="AP30" s="241">
        <f t="shared" si="6"/>
        <v>0</v>
      </c>
      <c r="AQ30" s="241">
        <f t="shared" si="37"/>
        <v>0</v>
      </c>
      <c r="AR30" s="443">
        <f t="shared" si="14"/>
        <v>0</v>
      </c>
      <c r="AS30" s="444"/>
      <c r="AT30" s="444"/>
      <c r="AU30" s="444"/>
      <c r="AV30" s="445"/>
      <c r="BA30" s="345"/>
      <c r="BB30" s="345"/>
      <c r="BC30" s="345"/>
      <c r="BD30" s="345"/>
      <c r="BE30" s="345"/>
      <c r="BF30" s="345"/>
      <c r="BH30" s="339">
        <f>IF($K30&gt;=0,+SUM(L$9:$L30)-$B30+Jan!$BA$41+SUM(AR$9:$AR30)," ")-0.009</f>
        <v>4.3333333333354183E-3</v>
      </c>
      <c r="BI30" s="330">
        <f t="shared" si="38"/>
        <v>1</v>
      </c>
      <c r="BJ30" s="331">
        <f t="shared" si="39"/>
        <v>0</v>
      </c>
      <c r="BK30" s="331">
        <f t="shared" si="40"/>
        <v>4.3333333333354183E-3</v>
      </c>
      <c r="BL30" s="331">
        <f t="shared" si="41"/>
        <v>2.600000000001251E-3</v>
      </c>
      <c r="BM30" s="337">
        <f t="shared" si="8"/>
        <v>2.600000000001251E-3</v>
      </c>
      <c r="BN30" s="340">
        <f t="shared" si="26"/>
        <v>7.0419999999999998</v>
      </c>
      <c r="BO30" s="288">
        <f t="shared" si="19"/>
        <v>2</v>
      </c>
    </row>
    <row r="31" spans="1:67" ht="15.95" customHeight="1" x14ac:dyDescent="0.25">
      <c r="A31" s="341"/>
      <c r="B31" s="342">
        <f>IF($I31&lt;&gt;"",IF(WEEKDAY($I31,2)&lt;6,IF(VLOOKUP(WEEKDAY($I31,2),InputUge,3)&gt;0,IF($A31="",VLOOKUP(WEEKDAY($I31,2),InputUge,3)+MAX(B$8:B30),IF($A31&lt;VLOOKUP(WEEKDAY($I31,2),InputUge,3),$A31+MAX(B$8:B30),VLOOKUP(WEEKDAY($I31,2),InputUge,3)+MAX(B$8:B30))),""),""),"")</f>
        <v>125.15333333333332</v>
      </c>
      <c r="C31" s="330">
        <f t="shared" si="9"/>
        <v>1</v>
      </c>
      <c r="D31" s="331">
        <f t="shared" si="10"/>
        <v>125</v>
      </c>
      <c r="E31" s="331">
        <f t="shared" si="11"/>
        <v>0.15333333333332178</v>
      </c>
      <c r="F31" s="331">
        <f t="shared" si="12"/>
        <v>9.1999999999993073E-2</v>
      </c>
      <c r="G31" s="261">
        <f t="shared" si="31"/>
        <v>125.092</v>
      </c>
      <c r="H31" s="343">
        <v>23</v>
      </c>
      <c r="I31" s="344">
        <f t="shared" si="13"/>
        <v>41297</v>
      </c>
      <c r="J31" s="6">
        <v>0.34791666666666665</v>
      </c>
      <c r="K31" s="6">
        <v>0.64236111111111105</v>
      </c>
      <c r="L31" s="334">
        <f>IF(K31&gt;0,ROUND(((K31-J31)*24)-SUM(BS31:BT31)+BU31,2)+IF(Fredagsfrokost="n",IF(WEEKDAY($I31,2)=5,IF(K31&gt;=0.5,IF(K31&lt;=13/24,0,0),0),0),0),IF(AX31&gt;0,AX31,""))</f>
        <v>7.07</v>
      </c>
      <c r="M31" s="335">
        <f>FLOOR(L31,1)</f>
        <v>7</v>
      </c>
      <c r="N31" s="335">
        <f>+L31-M31</f>
        <v>7.0000000000000284E-2</v>
      </c>
      <c r="O31" s="335">
        <f>+N31/100*60</f>
        <v>4.2000000000000169E-2</v>
      </c>
      <c r="P31" s="336">
        <f>IF(J31="","",O31+M31)</f>
        <v>7.0419999999999998</v>
      </c>
      <c r="Q31" s="572"/>
      <c r="R31" s="573"/>
      <c r="S31" s="573"/>
      <c r="T31" s="574"/>
      <c r="U31" s="442"/>
      <c r="V31" s="241">
        <f t="shared" si="15"/>
        <v>0</v>
      </c>
      <c r="W31" s="241">
        <f t="shared" si="27"/>
        <v>0</v>
      </c>
      <c r="X31" s="241">
        <f t="shared" si="16"/>
        <v>0</v>
      </c>
      <c r="Y31" s="275">
        <f t="shared" si="28"/>
        <v>0</v>
      </c>
      <c r="Z31" s="442"/>
      <c r="AA31" s="442"/>
      <c r="AB31" s="442"/>
      <c r="AC31" s="442"/>
      <c r="AD31" s="442"/>
      <c r="AE31" s="241">
        <f t="shared" si="42"/>
        <v>0</v>
      </c>
      <c r="AF31" s="241">
        <f t="shared" si="43"/>
        <v>0</v>
      </c>
      <c r="AG31" s="241">
        <f t="shared" si="44"/>
        <v>0</v>
      </c>
      <c r="AH31" s="443">
        <f t="shared" si="45"/>
        <v>0</v>
      </c>
      <c r="AI31" s="442"/>
      <c r="AJ31" s="442"/>
      <c r="AK31" s="442"/>
      <c r="AL31" s="442"/>
      <c r="AM31" s="442"/>
      <c r="AN31" s="476"/>
      <c r="AO31" s="241">
        <f t="shared" si="36"/>
        <v>0</v>
      </c>
      <c r="AP31" s="241">
        <f t="shared" si="6"/>
        <v>0</v>
      </c>
      <c r="AQ31" s="241">
        <f t="shared" si="37"/>
        <v>0</v>
      </c>
      <c r="AR31" s="443">
        <f t="shared" si="14"/>
        <v>0</v>
      </c>
      <c r="AS31" s="444"/>
      <c r="AT31" s="444"/>
      <c r="AU31" s="444"/>
      <c r="AV31" s="445"/>
      <c r="BA31" s="345"/>
      <c r="BB31" s="345"/>
      <c r="BC31" s="345"/>
      <c r="BD31" s="345"/>
      <c r="BE31" s="345"/>
      <c r="BF31" s="345"/>
      <c r="BH31" s="339">
        <f>IF($K31&gt;=0,+SUM(L$9:$L31)-$B31+Jan!$BA$41+SUM(AR$9:$AR31)," ")-0.009</f>
        <v>7.66666666666572E-3</v>
      </c>
      <c r="BI31" s="330">
        <f t="shared" si="38"/>
        <v>1</v>
      </c>
      <c r="BJ31" s="331">
        <f t="shared" si="39"/>
        <v>0</v>
      </c>
      <c r="BK31" s="331">
        <f t="shared" si="40"/>
        <v>7.66666666666572E-3</v>
      </c>
      <c r="BL31" s="331">
        <f t="shared" si="41"/>
        <v>4.5999999999994318E-3</v>
      </c>
      <c r="BM31" s="337">
        <f>IF(BO31=2,BJ31+BL31,"")</f>
        <v>4.5999999999994318E-3</v>
      </c>
      <c r="BN31" s="340">
        <f>+P31</f>
        <v>7.0419999999999998</v>
      </c>
      <c r="BO31" s="288">
        <f t="shared" si="19"/>
        <v>2</v>
      </c>
    </row>
    <row r="32" spans="1:67" ht="15.95" customHeight="1" x14ac:dyDescent="0.25">
      <c r="A32" s="341"/>
      <c r="B32" s="342">
        <f>IF($I32&lt;&gt;"",IF(WEEKDAY($I32,2)&lt;6,IF(VLOOKUP(WEEKDAY($I32,2),InputUge,3)&gt;0,IF($A32="",VLOOKUP(WEEKDAY($I32,2),InputUge,3)+MAX(B$8:B31),IF($A32&lt;VLOOKUP(WEEKDAY($I32,2),InputUge,3),$A32+MAX(B$8:B31),VLOOKUP(WEEKDAY($I32,2),InputUge,3)+MAX(B$8:B31))),""),""),"")</f>
        <v>134.56333333333333</v>
      </c>
      <c r="C32" s="330">
        <f t="shared" si="9"/>
        <v>1</v>
      </c>
      <c r="D32" s="331">
        <f t="shared" si="10"/>
        <v>134</v>
      </c>
      <c r="E32" s="331">
        <f t="shared" si="11"/>
        <v>0.56333333333333258</v>
      </c>
      <c r="F32" s="331">
        <f t="shared" si="12"/>
        <v>0.33799999999999958</v>
      </c>
      <c r="G32" s="261">
        <f t="shared" si="31"/>
        <v>134.33799999999999</v>
      </c>
      <c r="H32" s="343">
        <v>24</v>
      </c>
      <c r="I32" s="344">
        <f t="shared" si="13"/>
        <v>41298</v>
      </c>
      <c r="J32" s="6">
        <v>0.34791666666666665</v>
      </c>
      <c r="K32" s="6">
        <v>0.73958333333333337</v>
      </c>
      <c r="L32" s="334">
        <f>IF(K32&gt;0,ROUND(((K32-J32)*24)-SUM(BS32:BT32)+BU32,2)+IF(Fredagsfrokost="n",IF(WEEKDAY($I32,2)=5,IF(K32&gt;=0.5,IF(K32&lt;=13/24,0,0),0),0),0),IF(AX32&gt;0,AX32,""))</f>
        <v>9.4</v>
      </c>
      <c r="M32" s="335">
        <f>FLOOR(L32,1)</f>
        <v>9</v>
      </c>
      <c r="N32" s="335">
        <f>+L32-M32</f>
        <v>0.40000000000000036</v>
      </c>
      <c r="O32" s="335">
        <f>+N32/100*60</f>
        <v>0.24000000000000021</v>
      </c>
      <c r="P32" s="336">
        <f>IF(J32="","",O32+M32)</f>
        <v>9.24</v>
      </c>
      <c r="Q32" s="572"/>
      <c r="R32" s="573"/>
      <c r="S32" s="573"/>
      <c r="T32" s="574"/>
      <c r="U32" s="442"/>
      <c r="V32" s="241">
        <f t="shared" si="15"/>
        <v>0</v>
      </c>
      <c r="W32" s="241">
        <f t="shared" si="27"/>
        <v>0</v>
      </c>
      <c r="X32" s="241">
        <f t="shared" si="16"/>
        <v>0</v>
      </c>
      <c r="Y32" s="275">
        <f t="shared" si="28"/>
        <v>0</v>
      </c>
      <c r="Z32" s="442"/>
      <c r="AA32" s="442"/>
      <c r="AB32" s="442"/>
      <c r="AC32" s="442"/>
      <c r="AD32" s="442"/>
      <c r="AE32" s="241">
        <f t="shared" si="42"/>
        <v>0</v>
      </c>
      <c r="AF32" s="241">
        <f t="shared" si="43"/>
        <v>0</v>
      </c>
      <c r="AG32" s="241">
        <f t="shared" si="44"/>
        <v>0</v>
      </c>
      <c r="AH32" s="443">
        <f t="shared" si="45"/>
        <v>0</v>
      </c>
      <c r="AI32" s="442"/>
      <c r="AJ32" s="442"/>
      <c r="AK32" s="442"/>
      <c r="AL32" s="442"/>
      <c r="AM32" s="442"/>
      <c r="AN32" s="476"/>
      <c r="AO32" s="241">
        <f t="shared" si="36"/>
        <v>0</v>
      </c>
      <c r="AP32" s="241">
        <f t="shared" si="6"/>
        <v>0</v>
      </c>
      <c r="AQ32" s="241">
        <f t="shared" si="37"/>
        <v>0</v>
      </c>
      <c r="AR32" s="443">
        <f t="shared" si="14"/>
        <v>0</v>
      </c>
      <c r="AS32" s="444"/>
      <c r="AT32" s="444"/>
      <c r="AU32" s="444"/>
      <c r="AV32" s="445"/>
      <c r="BA32" s="345"/>
      <c r="BB32" s="345"/>
      <c r="BC32" s="345"/>
      <c r="BD32" s="345"/>
      <c r="BE32" s="345"/>
      <c r="BF32" s="345"/>
      <c r="BH32" s="339">
        <f>IF($K32&gt;=0,+SUM(L$9:$L32)-$B32+Jan!$BA$41+SUM(AR$9:$AR32)," ")</f>
        <v>6.6666666666606034E-3</v>
      </c>
      <c r="BI32" s="330">
        <f t="shared" si="38"/>
        <v>1</v>
      </c>
      <c r="BJ32" s="331">
        <f t="shared" si="39"/>
        <v>0</v>
      </c>
      <c r="BK32" s="331">
        <f t="shared" si="40"/>
        <v>6.6666666666606034E-3</v>
      </c>
      <c r="BL32" s="331">
        <f t="shared" si="41"/>
        <v>3.9999999999963624E-3</v>
      </c>
      <c r="BM32" s="337">
        <f t="shared" si="8"/>
        <v>3.9999999999963624E-3</v>
      </c>
      <c r="BN32" s="340">
        <f t="shared" si="26"/>
        <v>9.24</v>
      </c>
      <c r="BO32" s="288">
        <f t="shared" si="19"/>
        <v>2</v>
      </c>
    </row>
    <row r="33" spans="1:68" ht="15.95" customHeight="1" x14ac:dyDescent="0.25">
      <c r="A33" s="341"/>
      <c r="B33" s="342">
        <f>IF($I33&lt;&gt;"",IF(WEEKDAY($I33,2)&lt;6,IF(VLOOKUP(WEEKDAY($I33,2),InputUge,3)&gt;0,IF($A33="",VLOOKUP(WEEKDAY($I33,2),InputUge,3)+MAX(B$8:B32),IF($A33&lt;VLOOKUP(WEEKDAY($I33,2),InputUge,3),$A33+MAX(B$8:B32),VLOOKUP(WEEKDAY($I33,2),InputUge,3)+MAX(B$8:B32))),""),""),"")</f>
        <v>140.96333333333334</v>
      </c>
      <c r="C33" s="330">
        <f t="shared" si="9"/>
        <v>1</v>
      </c>
      <c r="D33" s="331">
        <f t="shared" si="10"/>
        <v>140</v>
      </c>
      <c r="E33" s="331">
        <f t="shared" si="11"/>
        <v>0.96333333333333826</v>
      </c>
      <c r="F33" s="331">
        <f t="shared" si="12"/>
        <v>0.57800000000000296</v>
      </c>
      <c r="G33" s="261">
        <f t="shared" si="31"/>
        <v>140.578</v>
      </c>
      <c r="H33" s="343">
        <v>25</v>
      </c>
      <c r="I33" s="344">
        <f>+I32+1</f>
        <v>41299</v>
      </c>
      <c r="J33" s="6">
        <v>0.34791666666666665</v>
      </c>
      <c r="K33" s="6">
        <v>0.61458333333333337</v>
      </c>
      <c r="L33" s="334">
        <f>IF(K33&gt;0,ROUND(((K33-J33)*24)-SUM(BS33:BT33)+BU33,2)+IF(Fredagsfrokost="n",IF(WEEKDAY($I33,2)=5,IF(K33&gt;=0.5,IF(K33&lt;=13/24,0,0),0),0),0),IF(AX33&gt;0,AX33,""))</f>
        <v>6.4</v>
      </c>
      <c r="M33" s="335">
        <f>FLOOR(L33,1)</f>
        <v>6</v>
      </c>
      <c r="N33" s="335">
        <f>+L33-M33</f>
        <v>0.40000000000000036</v>
      </c>
      <c r="O33" s="335">
        <f>+N33/100*60</f>
        <v>0.24000000000000021</v>
      </c>
      <c r="P33" s="336">
        <f>IF(J33="","",O33+M33)</f>
        <v>6.24</v>
      </c>
      <c r="Q33" s="572"/>
      <c r="R33" s="573"/>
      <c r="S33" s="573"/>
      <c r="T33" s="574"/>
      <c r="U33" s="442"/>
      <c r="V33" s="241">
        <f t="shared" si="15"/>
        <v>0</v>
      </c>
      <c r="W33" s="241">
        <f t="shared" si="27"/>
        <v>0</v>
      </c>
      <c r="X33" s="241">
        <f t="shared" si="16"/>
        <v>0</v>
      </c>
      <c r="Y33" s="275">
        <f t="shared" si="28"/>
        <v>0</v>
      </c>
      <c r="Z33" s="442"/>
      <c r="AA33" s="442"/>
      <c r="AB33" s="442"/>
      <c r="AC33" s="442"/>
      <c r="AD33" s="442"/>
      <c r="AE33" s="241">
        <f t="shared" si="42"/>
        <v>0</v>
      </c>
      <c r="AF33" s="241">
        <f t="shared" si="43"/>
        <v>0</v>
      </c>
      <c r="AG33" s="241">
        <f t="shared" si="44"/>
        <v>0</v>
      </c>
      <c r="AH33" s="443">
        <f t="shared" si="45"/>
        <v>0</v>
      </c>
      <c r="AI33" s="442"/>
      <c r="AJ33" s="442"/>
      <c r="AK33" s="442"/>
      <c r="AL33" s="442"/>
      <c r="AM33" s="442"/>
      <c r="AN33" s="476"/>
      <c r="AO33" s="241">
        <f t="shared" si="36"/>
        <v>0</v>
      </c>
      <c r="AP33" s="241">
        <f t="shared" si="6"/>
        <v>0</v>
      </c>
      <c r="AQ33" s="241">
        <f t="shared" si="37"/>
        <v>0</v>
      </c>
      <c r="AR33" s="443">
        <f t="shared" si="14"/>
        <v>0</v>
      </c>
      <c r="AS33" s="444"/>
      <c r="AT33" s="444"/>
      <c r="AU33" s="444"/>
      <c r="AV33" s="445"/>
      <c r="BA33" s="345"/>
      <c r="BB33" s="345"/>
      <c r="BC33" s="345"/>
      <c r="BD33" s="345"/>
      <c r="BE33" s="345"/>
      <c r="BF33" s="345"/>
      <c r="BH33" s="339">
        <f>IF($K33&gt;=0,+SUM(L$9:$L33)-$B33+Jan!$BA$41+SUM(AR$9:$AR33)," ")</f>
        <v>6.6666666666606034E-3</v>
      </c>
      <c r="BI33" s="330">
        <f t="shared" ref="BI33:BI39" si="46">IF(BH33&lt;0,-1,1)</f>
        <v>1</v>
      </c>
      <c r="BJ33" s="331">
        <f t="shared" ref="BJ33:BJ39" si="47">FLOOR(BH33,BI33)</f>
        <v>0</v>
      </c>
      <c r="BK33" s="331">
        <f t="shared" ref="BK33:BK39" si="48">+BH33-BJ33</f>
        <v>6.6666666666606034E-3</v>
      </c>
      <c r="BL33" s="331">
        <f t="shared" ref="BL33:BL39" si="49">+BK33/100*60</f>
        <v>3.9999999999963624E-3</v>
      </c>
      <c r="BM33" s="337">
        <f t="shared" si="8"/>
        <v>3.9999999999963624E-3</v>
      </c>
      <c r="BN33" s="340">
        <f t="shared" si="26"/>
        <v>6.24</v>
      </c>
      <c r="BO33" s="288">
        <f t="shared" si="19"/>
        <v>2</v>
      </c>
    </row>
    <row r="34" spans="1:68" ht="15.95" customHeight="1" x14ac:dyDescent="0.25">
      <c r="A34" s="341"/>
      <c r="B34" s="342" t="str">
        <f>IF($I34&lt;&gt;"",IF(WEEKDAY($I34,2)&lt;6,IF(VLOOKUP(WEEKDAY($I34,2),InputUge,3)&gt;0,IF($A34="",VLOOKUP(WEEKDAY($I34,2),InputUge,3)+MAX(B$8:B33),IF($A34&lt;VLOOKUP(WEEKDAY($I34,2),InputUge,3),$A34+MAX(B$8:B33),VLOOKUP(WEEKDAY($I34,2),InputUge,3)+MAX(B$8:B33))),""),""),"")</f>
        <v/>
      </c>
      <c r="C34" s="330">
        <f t="shared" si="9"/>
        <v>1</v>
      </c>
      <c r="D34" s="331" t="e">
        <f t="shared" si="10"/>
        <v>#VALUE!</v>
      </c>
      <c r="E34" s="331" t="e">
        <f t="shared" si="11"/>
        <v>#VALUE!</v>
      </c>
      <c r="F34" s="331" t="e">
        <f t="shared" si="12"/>
        <v>#VALUE!</v>
      </c>
      <c r="G34" s="261"/>
      <c r="H34" s="343">
        <v>26</v>
      </c>
      <c r="I34" s="344">
        <f>+I33+1</f>
        <v>41300</v>
      </c>
      <c r="J34" s="6"/>
      <c r="K34" s="6"/>
      <c r="L34" s="334"/>
      <c r="M34" s="335"/>
      <c r="N34" s="335"/>
      <c r="O34" s="335"/>
      <c r="P34" s="336"/>
      <c r="Q34" s="572"/>
      <c r="R34" s="573"/>
      <c r="S34" s="573"/>
      <c r="T34" s="574"/>
      <c r="U34" s="442"/>
      <c r="V34" s="241">
        <f t="shared" si="15"/>
        <v>0</v>
      </c>
      <c r="W34" s="241">
        <f t="shared" si="27"/>
        <v>0</v>
      </c>
      <c r="X34" s="241">
        <f t="shared" si="16"/>
        <v>0</v>
      </c>
      <c r="Y34" s="275">
        <f t="shared" si="28"/>
        <v>0</v>
      </c>
      <c r="Z34" s="442"/>
      <c r="AA34" s="442"/>
      <c r="AB34" s="442"/>
      <c r="AC34" s="442"/>
      <c r="AD34" s="442"/>
      <c r="AE34" s="241">
        <f t="shared" si="42"/>
        <v>0</v>
      </c>
      <c r="AF34" s="241">
        <f t="shared" si="43"/>
        <v>0</v>
      </c>
      <c r="AG34" s="241">
        <f t="shared" si="44"/>
        <v>0</v>
      </c>
      <c r="AH34" s="443">
        <f t="shared" si="45"/>
        <v>0</v>
      </c>
      <c r="AI34" s="442"/>
      <c r="AJ34" s="442"/>
      <c r="AK34" s="442"/>
      <c r="AL34" s="442"/>
      <c r="AM34" s="442"/>
      <c r="AN34" s="476"/>
      <c r="AO34" s="241">
        <f t="shared" si="36"/>
        <v>0</v>
      </c>
      <c r="AP34" s="241">
        <f t="shared" si="6"/>
        <v>0</v>
      </c>
      <c r="AQ34" s="241">
        <f t="shared" si="37"/>
        <v>0</v>
      </c>
      <c r="AR34" s="443">
        <f t="shared" si="14"/>
        <v>0</v>
      </c>
      <c r="AS34" s="444"/>
      <c r="AT34" s="444"/>
      <c r="AU34" s="444"/>
      <c r="AV34" s="445"/>
      <c r="BA34" s="345"/>
      <c r="BB34" s="345"/>
      <c r="BC34" s="345"/>
      <c r="BD34" s="345"/>
      <c r="BE34" s="345"/>
      <c r="BF34" s="345"/>
      <c r="BH34" s="339" t="e">
        <f>IF($K34&gt;=0,+SUM(L$9:$L34)-$B34+Jan!$BA$41+SUM(AR$9:$AR34)," ")</f>
        <v>#VALUE!</v>
      </c>
      <c r="BI34" s="330" t="e">
        <f t="shared" si="46"/>
        <v>#VALUE!</v>
      </c>
      <c r="BJ34" s="331" t="e">
        <f t="shared" si="47"/>
        <v>#VALUE!</v>
      </c>
      <c r="BK34" s="331" t="e">
        <f t="shared" si="48"/>
        <v>#VALUE!</v>
      </c>
      <c r="BL34" s="331" t="e">
        <f t="shared" si="49"/>
        <v>#VALUE!</v>
      </c>
      <c r="BM34" s="337"/>
      <c r="BN34" s="340">
        <f t="shared" si="26"/>
        <v>0</v>
      </c>
      <c r="BO34" s="288">
        <f t="shared" si="19"/>
        <v>2</v>
      </c>
    </row>
    <row r="35" spans="1:68" ht="15.95" customHeight="1" x14ac:dyDescent="0.25">
      <c r="A35" s="341"/>
      <c r="B35" s="342" t="str">
        <f>IF($I35&lt;&gt;"",IF(WEEKDAY($I35,2)&lt;6,IF(VLOOKUP(WEEKDAY($I35,2),InputUge,3)&gt;0,IF($A35="",VLOOKUP(WEEKDAY($I35,2),InputUge,3)+MAX(B$8:B34),IF($A35&lt;VLOOKUP(WEEKDAY($I35,2),InputUge,3),$A35+MAX(B$8:B34),VLOOKUP(WEEKDAY($I35,2),InputUge,3)+MAX(B$8:B34))),""),""),"")</f>
        <v/>
      </c>
      <c r="C35" s="330">
        <f t="shared" si="9"/>
        <v>1</v>
      </c>
      <c r="D35" s="331" t="e">
        <f t="shared" si="10"/>
        <v>#VALUE!</v>
      </c>
      <c r="E35" s="331" t="e">
        <f t="shared" si="11"/>
        <v>#VALUE!</v>
      </c>
      <c r="F35" s="331" t="e">
        <f t="shared" si="12"/>
        <v>#VALUE!</v>
      </c>
      <c r="G35" s="261"/>
      <c r="H35" s="343">
        <v>27</v>
      </c>
      <c r="I35" s="344">
        <f>+I34+1</f>
        <v>41301</v>
      </c>
      <c r="J35" s="6"/>
      <c r="K35" s="6"/>
      <c r="L35" s="334"/>
      <c r="M35" s="335"/>
      <c r="N35" s="335"/>
      <c r="O35" s="335"/>
      <c r="P35" s="336"/>
      <c r="Q35" s="572"/>
      <c r="R35" s="573"/>
      <c r="S35" s="573"/>
      <c r="T35" s="574"/>
      <c r="U35" s="442"/>
      <c r="V35" s="241">
        <f t="shared" si="15"/>
        <v>0</v>
      </c>
      <c r="W35" s="241">
        <f t="shared" si="27"/>
        <v>0</v>
      </c>
      <c r="X35" s="241">
        <f t="shared" si="16"/>
        <v>0</v>
      </c>
      <c r="Y35" s="275">
        <f t="shared" si="28"/>
        <v>0</v>
      </c>
      <c r="Z35" s="442"/>
      <c r="AA35" s="442"/>
      <c r="AB35" s="442"/>
      <c r="AC35" s="442"/>
      <c r="AD35" s="442"/>
      <c r="AE35" s="241">
        <f t="shared" si="42"/>
        <v>0</v>
      </c>
      <c r="AF35" s="241">
        <f t="shared" si="43"/>
        <v>0</v>
      </c>
      <c r="AG35" s="241">
        <f t="shared" si="44"/>
        <v>0</v>
      </c>
      <c r="AH35" s="443">
        <f t="shared" si="45"/>
        <v>0</v>
      </c>
      <c r="AI35" s="442"/>
      <c r="AJ35" s="442"/>
      <c r="AK35" s="442"/>
      <c r="AL35" s="442"/>
      <c r="AM35" s="442"/>
      <c r="AN35" s="476"/>
      <c r="AO35" s="241">
        <f t="shared" si="36"/>
        <v>0</v>
      </c>
      <c r="AP35" s="241">
        <f t="shared" si="6"/>
        <v>0</v>
      </c>
      <c r="AQ35" s="241">
        <f t="shared" si="37"/>
        <v>0</v>
      </c>
      <c r="AR35" s="443">
        <f t="shared" si="14"/>
        <v>0</v>
      </c>
      <c r="AS35" s="444"/>
      <c r="AT35" s="444"/>
      <c r="AU35" s="444"/>
      <c r="AV35" s="445"/>
      <c r="BA35" s="345"/>
      <c r="BB35" s="345"/>
      <c r="BC35" s="345"/>
      <c r="BD35" s="345"/>
      <c r="BE35" s="345"/>
      <c r="BF35" s="345"/>
      <c r="BH35" s="339" t="e">
        <f>IF($K35&gt;=0,+SUM(L$9:$L35)-$B35+Jan!$BA$41+SUM(AR$9:$AR35)," ")</f>
        <v>#VALUE!</v>
      </c>
      <c r="BI35" s="330" t="e">
        <f t="shared" si="46"/>
        <v>#VALUE!</v>
      </c>
      <c r="BJ35" s="331" t="e">
        <f t="shared" si="47"/>
        <v>#VALUE!</v>
      </c>
      <c r="BK35" s="331" t="e">
        <f t="shared" si="48"/>
        <v>#VALUE!</v>
      </c>
      <c r="BL35" s="331" t="e">
        <f t="shared" si="49"/>
        <v>#VALUE!</v>
      </c>
      <c r="BM35" s="337"/>
      <c r="BN35" s="340">
        <f t="shared" si="26"/>
        <v>0</v>
      </c>
      <c r="BO35" s="288">
        <f t="shared" si="19"/>
        <v>2</v>
      </c>
    </row>
    <row r="36" spans="1:68" ht="15.95" customHeight="1" x14ac:dyDescent="0.25">
      <c r="A36" s="341"/>
      <c r="B36" s="342">
        <f>IF($I36&lt;&gt;"",IF(WEEKDAY($I36,2)&lt;6,IF(VLOOKUP(WEEKDAY($I36,2),InputUge,3)&gt;0,IF($A36="",VLOOKUP(WEEKDAY($I36,2),InputUge,3)+MAX(B$8:B35),IF($A36&lt;VLOOKUP(WEEKDAY($I36,2),InputUge,3),$A36+MAX(B$8:B35),VLOOKUP(WEEKDAY($I36,2),InputUge,3)+MAX(B$8:B35))),""),""),"")</f>
        <v>148.02666666666667</v>
      </c>
      <c r="C36" s="330">
        <f t="shared" si="9"/>
        <v>1</v>
      </c>
      <c r="D36" s="331">
        <f t="shared" si="10"/>
        <v>148</v>
      </c>
      <c r="E36" s="331">
        <f t="shared" si="11"/>
        <v>2.6666666666670835E-2</v>
      </c>
      <c r="F36" s="331">
        <f t="shared" si="12"/>
        <v>1.6000000000002502E-2</v>
      </c>
      <c r="G36" s="261">
        <f t="shared" si="31"/>
        <v>148.01599999999999</v>
      </c>
      <c r="H36" s="343">
        <v>28</v>
      </c>
      <c r="I36" s="344">
        <f>+I35+1</f>
        <v>41302</v>
      </c>
      <c r="J36" s="6">
        <v>0.34791666666666665</v>
      </c>
      <c r="K36" s="6">
        <v>0.64236111111111105</v>
      </c>
      <c r="L36" s="334">
        <f>IF(K36&gt;0,ROUND(((K36-J36)*24)-SUM(BS36:BT36)+BU36,2)+IF(Fredagsfrokost="n",IF(WEEKDAY($I36,2)=5,IF(K36&gt;=0.5,IF(K36&lt;=13/24,0,0),0),0),0),IF(AX36&gt;0,AX36,""))</f>
        <v>7.07</v>
      </c>
      <c r="M36" s="335">
        <f>FLOOR(L36,1)</f>
        <v>7</v>
      </c>
      <c r="N36" s="335">
        <f>+L36-M36</f>
        <v>7.0000000000000284E-2</v>
      </c>
      <c r="O36" s="335">
        <f>+N36/100*60</f>
        <v>4.2000000000000169E-2</v>
      </c>
      <c r="P36" s="336">
        <f>IF(J36="","",O36+M36)</f>
        <v>7.0419999999999998</v>
      </c>
      <c r="Q36" s="572"/>
      <c r="R36" s="573"/>
      <c r="S36" s="573"/>
      <c r="T36" s="574"/>
      <c r="U36" s="442"/>
      <c r="V36" s="241">
        <f t="shared" si="15"/>
        <v>0</v>
      </c>
      <c r="W36" s="241">
        <f t="shared" si="27"/>
        <v>0</v>
      </c>
      <c r="X36" s="241">
        <f t="shared" si="16"/>
        <v>0</v>
      </c>
      <c r="Y36" s="275">
        <f t="shared" si="28"/>
        <v>0</v>
      </c>
      <c r="Z36" s="442"/>
      <c r="AA36" s="442"/>
      <c r="AB36" s="442"/>
      <c r="AC36" s="442"/>
      <c r="AD36" s="442"/>
      <c r="AE36" s="241">
        <f t="shared" si="42"/>
        <v>0</v>
      </c>
      <c r="AF36" s="241">
        <f t="shared" si="43"/>
        <v>0</v>
      </c>
      <c r="AG36" s="241">
        <f t="shared" si="44"/>
        <v>0</v>
      </c>
      <c r="AH36" s="443">
        <f t="shared" si="45"/>
        <v>0</v>
      </c>
      <c r="AI36" s="442"/>
      <c r="AJ36" s="442"/>
      <c r="AK36" s="442"/>
      <c r="AL36" s="442"/>
      <c r="AM36" s="442"/>
      <c r="AN36" s="476"/>
      <c r="AO36" s="241">
        <f t="shared" si="36"/>
        <v>0</v>
      </c>
      <c r="AP36" s="241">
        <f t="shared" si="6"/>
        <v>0</v>
      </c>
      <c r="AQ36" s="241">
        <f t="shared" si="37"/>
        <v>0</v>
      </c>
      <c r="AR36" s="443">
        <f t="shared" si="14"/>
        <v>0</v>
      </c>
      <c r="AS36" s="444"/>
      <c r="AT36" s="444"/>
      <c r="AU36" s="444"/>
      <c r="AV36" s="445"/>
      <c r="BA36" s="345"/>
      <c r="BB36" s="345"/>
      <c r="BC36" s="345"/>
      <c r="BD36" s="345"/>
      <c r="BE36" s="345"/>
      <c r="BF36" s="345"/>
      <c r="BH36" s="339">
        <f>IF($K36&gt;=0,+SUM(L$9:$L36)-$B36+Jan!$BA$41+SUM(AR$9:$AR36)," ")-0.008</f>
        <v>5.3333333333212066E-3</v>
      </c>
      <c r="BI36" s="330">
        <f t="shared" si="46"/>
        <v>1</v>
      </c>
      <c r="BJ36" s="331">
        <f t="shared" si="47"/>
        <v>0</v>
      </c>
      <c r="BK36" s="331">
        <f t="shared" si="48"/>
        <v>5.3333333333212066E-3</v>
      </c>
      <c r="BL36" s="331">
        <f t="shared" si="49"/>
        <v>3.1999999999927239E-3</v>
      </c>
      <c r="BM36" s="337">
        <f t="shared" si="8"/>
        <v>3.1999999999927239E-3</v>
      </c>
      <c r="BN36" s="340">
        <f t="shared" si="26"/>
        <v>7.0419999999999998</v>
      </c>
      <c r="BO36" s="288">
        <f t="shared" si="19"/>
        <v>2</v>
      </c>
    </row>
    <row r="37" spans="1:68" ht="15.95" customHeight="1" x14ac:dyDescent="0.25">
      <c r="A37" s="341"/>
      <c r="B37" s="342">
        <f>IF($I37&lt;&gt;"",IF(WEEKDAY($I37,2)&lt;6,IF(VLOOKUP(WEEKDAY($I37,2),InputUge,3)&gt;0,IF($A37="",VLOOKUP(WEEKDAY($I37,2),InputUge,3)+MAX(B$8:B36),IF($A37&lt;VLOOKUP(WEEKDAY($I37,2),InputUge,3),$A37+MAX(B$8:B36),VLOOKUP(WEEKDAY($I37,2),InputUge,3)+MAX(B$8:B36))),""),""),"")</f>
        <v>155.09333333333333</v>
      </c>
      <c r="C37" s="330">
        <f t="shared" si="9"/>
        <v>1</v>
      </c>
      <c r="D37" s="331">
        <f t="shared" si="10"/>
        <v>155</v>
      </c>
      <c r="E37" s="331">
        <f t="shared" si="11"/>
        <v>9.3333333333333712E-2</v>
      </c>
      <c r="F37" s="331">
        <f t="shared" si="12"/>
        <v>5.600000000000023E-2</v>
      </c>
      <c r="G37" s="261">
        <f t="shared" si="31"/>
        <v>155.05600000000001</v>
      </c>
      <c r="H37" s="343">
        <v>29</v>
      </c>
      <c r="I37" s="344">
        <f>+I36+1</f>
        <v>41303</v>
      </c>
      <c r="J37" s="6">
        <v>0.34814814814814815</v>
      </c>
      <c r="K37" s="6">
        <v>0.64236111111111105</v>
      </c>
      <c r="L37" s="334">
        <f>IF(K37&gt;0,ROUND(((K37-J37)*24)-SUM(BS37:BT37)+BU37,2)+IF(Fredagsfrokost="n",IF(WEEKDAY($I37,2)=5,IF(K37&gt;=0.5,IF(K37&lt;=13/24,0,0),0),0),0),IF(AX37&gt;0,AX37,""))</f>
        <v>7.06</v>
      </c>
      <c r="M37" s="335">
        <f>FLOOR(L37,1)</f>
        <v>7</v>
      </c>
      <c r="N37" s="335">
        <f>+L37-M37</f>
        <v>5.9999999999999609E-2</v>
      </c>
      <c r="O37" s="335">
        <f>+N37/100*60</f>
        <v>3.5999999999999761E-2</v>
      </c>
      <c r="P37" s="336">
        <f>IF(J37="","",O37+M37)</f>
        <v>7.0359999999999996</v>
      </c>
      <c r="Q37" s="572"/>
      <c r="R37" s="573"/>
      <c r="S37" s="573"/>
      <c r="T37" s="574"/>
      <c r="U37" s="442"/>
      <c r="V37" s="241">
        <f t="shared" si="15"/>
        <v>0</v>
      </c>
      <c r="W37" s="241">
        <f t="shared" si="27"/>
        <v>0</v>
      </c>
      <c r="X37" s="241">
        <f t="shared" si="16"/>
        <v>0</v>
      </c>
      <c r="Y37" s="275">
        <f t="shared" si="28"/>
        <v>0</v>
      </c>
      <c r="Z37" s="442"/>
      <c r="AA37" s="442"/>
      <c r="AB37" s="442"/>
      <c r="AC37" s="442"/>
      <c r="AD37" s="442"/>
      <c r="AE37" s="241">
        <f t="shared" si="42"/>
        <v>0</v>
      </c>
      <c r="AF37" s="241">
        <f t="shared" si="43"/>
        <v>0</v>
      </c>
      <c r="AG37" s="241">
        <f t="shared" si="44"/>
        <v>0</v>
      </c>
      <c r="AH37" s="443">
        <f t="shared" si="45"/>
        <v>0</v>
      </c>
      <c r="AI37" s="442"/>
      <c r="AJ37" s="442"/>
      <c r="AK37" s="442"/>
      <c r="AL37" s="442"/>
      <c r="AM37" s="442"/>
      <c r="AN37" s="476"/>
      <c r="AO37" s="241">
        <f t="shared" si="36"/>
        <v>0</v>
      </c>
      <c r="AP37" s="241">
        <f t="shared" si="6"/>
        <v>0</v>
      </c>
      <c r="AQ37" s="241">
        <f t="shared" si="37"/>
        <v>0</v>
      </c>
      <c r="AR37" s="443">
        <f t="shared" si="14"/>
        <v>0</v>
      </c>
      <c r="AS37" s="444"/>
      <c r="AT37" s="444"/>
      <c r="AU37" s="444"/>
      <c r="AV37" s="445"/>
      <c r="BA37" s="345"/>
      <c r="BB37" s="345"/>
      <c r="BC37" s="345"/>
      <c r="BD37" s="345"/>
      <c r="BE37" s="345"/>
      <c r="BF37" s="345"/>
      <c r="BH37" s="339">
        <f>IF($K37&gt;=0,+SUM(L$9:$L37)-$B37+Jan!$BA$41+SUM(AR$9:$AR37)," ")-0.001</f>
        <v>5.6666666666606033E-3</v>
      </c>
      <c r="BI37" s="330">
        <f t="shared" si="46"/>
        <v>1</v>
      </c>
      <c r="BJ37" s="331">
        <f t="shared" si="47"/>
        <v>0</v>
      </c>
      <c r="BK37" s="331">
        <f t="shared" si="48"/>
        <v>5.6666666666606033E-3</v>
      </c>
      <c r="BL37" s="331">
        <f t="shared" si="49"/>
        <v>3.3999999999963621E-3</v>
      </c>
      <c r="BM37" s="337">
        <f t="shared" si="8"/>
        <v>3.3999999999963621E-3</v>
      </c>
      <c r="BN37" s="340">
        <f t="shared" si="26"/>
        <v>7.0359999999999996</v>
      </c>
      <c r="BO37" s="288">
        <f t="shared" si="19"/>
        <v>2</v>
      </c>
    </row>
    <row r="38" spans="1:68" ht="15.95" customHeight="1" x14ac:dyDescent="0.25">
      <c r="A38" s="341"/>
      <c r="B38" s="342">
        <f>IF($I38&lt;&gt;"",IF(WEEKDAY($I38,2)&lt;6,IF(VLOOKUP(WEEKDAY($I38,2),InputUge,3)&gt;0,IF($A38="",VLOOKUP(WEEKDAY($I38,2),InputUge,3)+MAX(B$8:B37),IF($A38&lt;VLOOKUP(WEEKDAY($I38,2),InputUge,3),$A38+MAX(B$8:B37),VLOOKUP(WEEKDAY($I38,2),InputUge,3)+MAX(B$8:B37))),""),""),"")</f>
        <v>162.16</v>
      </c>
      <c r="C38" s="330">
        <f t="shared" si="9"/>
        <v>1</v>
      </c>
      <c r="D38" s="331">
        <f t="shared" si="10"/>
        <v>162</v>
      </c>
      <c r="E38" s="331">
        <f t="shared" si="11"/>
        <v>0.15999999999999659</v>
      </c>
      <c r="F38" s="331">
        <f t="shared" si="12"/>
        <v>9.5999999999997948E-2</v>
      </c>
      <c r="G38" s="261">
        <f t="shared" si="31"/>
        <v>162.096</v>
      </c>
      <c r="H38" s="343">
        <v>30</v>
      </c>
      <c r="I38" s="344">
        <f t="shared" si="13"/>
        <v>41304</v>
      </c>
      <c r="J38" s="6">
        <v>0.34791666666666665</v>
      </c>
      <c r="K38" s="6">
        <v>0.64236111111111105</v>
      </c>
      <c r="L38" s="334">
        <f>IF(K38&gt;0,ROUND(((K38-J38)*24)-SUM(BS38:BT38)+BU38,2)+IF(Fredagsfrokost="n",IF(WEEKDAY($I38,2)=5,IF(K38&gt;=0.5,IF(K38&lt;=13/24,0,0),0),0),0),IF(AX38&gt;0,AX38,""))</f>
        <v>7.07</v>
      </c>
      <c r="M38" s="335">
        <f>FLOOR(L38,1)</f>
        <v>7</v>
      </c>
      <c r="N38" s="335">
        <f>+L38-M38</f>
        <v>7.0000000000000284E-2</v>
      </c>
      <c r="O38" s="335">
        <f>+N38/100*60</f>
        <v>4.2000000000000169E-2</v>
      </c>
      <c r="P38" s="336">
        <f>IF(J38="","",O38+M38)</f>
        <v>7.0419999999999998</v>
      </c>
      <c r="Q38" s="572"/>
      <c r="R38" s="573"/>
      <c r="S38" s="573"/>
      <c r="T38" s="574"/>
      <c r="U38" s="442"/>
      <c r="V38" s="241">
        <f t="shared" si="15"/>
        <v>0</v>
      </c>
      <c r="W38" s="241">
        <f t="shared" si="27"/>
        <v>0</v>
      </c>
      <c r="X38" s="241">
        <f t="shared" si="16"/>
        <v>0</v>
      </c>
      <c r="Y38" s="275">
        <f t="shared" si="28"/>
        <v>0</v>
      </c>
      <c r="Z38" s="442"/>
      <c r="AA38" s="442"/>
      <c r="AB38" s="442"/>
      <c r="AC38" s="442"/>
      <c r="AD38" s="442"/>
      <c r="AE38" s="241">
        <f t="shared" si="42"/>
        <v>0</v>
      </c>
      <c r="AF38" s="241">
        <f t="shared" si="43"/>
        <v>0</v>
      </c>
      <c r="AG38" s="241">
        <f t="shared" si="44"/>
        <v>0</v>
      </c>
      <c r="AH38" s="443">
        <f t="shared" si="45"/>
        <v>0</v>
      </c>
      <c r="AI38" s="442"/>
      <c r="AJ38" s="442"/>
      <c r="AK38" s="442"/>
      <c r="AL38" s="442"/>
      <c r="AM38" s="442"/>
      <c r="AN38" s="476"/>
      <c r="AO38" s="241">
        <f t="shared" si="36"/>
        <v>0</v>
      </c>
      <c r="AP38" s="241">
        <f t="shared" si="6"/>
        <v>0</v>
      </c>
      <c r="AQ38" s="241">
        <f t="shared" si="37"/>
        <v>0</v>
      </c>
      <c r="AR38" s="443">
        <f t="shared" si="14"/>
        <v>0</v>
      </c>
      <c r="AS38" s="444"/>
      <c r="AT38" s="444"/>
      <c r="AU38" s="444"/>
      <c r="AV38" s="445"/>
      <c r="BA38" s="345"/>
      <c r="BB38" s="345"/>
      <c r="BC38" s="345"/>
      <c r="BD38" s="345"/>
      <c r="BE38" s="345"/>
      <c r="BF38" s="345"/>
      <c r="BH38" s="339">
        <f>IF($K38&gt;=0,+SUM(L$9:$L38)-$B38+Jan!$BA$41+SUM(AR$9:$AR38)," ")-0.008</f>
        <v>1.9999999999909049E-3</v>
      </c>
      <c r="BI38" s="330">
        <f t="shared" si="46"/>
        <v>1</v>
      </c>
      <c r="BJ38" s="331">
        <f t="shared" si="47"/>
        <v>0</v>
      </c>
      <c r="BK38" s="331">
        <f t="shared" si="48"/>
        <v>1.9999999999909049E-3</v>
      </c>
      <c r="BL38" s="331">
        <f t="shared" si="49"/>
        <v>1.1999999999945429E-3</v>
      </c>
      <c r="BM38" s="337">
        <f t="shared" si="8"/>
        <v>1.1999999999945429E-3</v>
      </c>
      <c r="BN38" s="340">
        <f t="shared" si="26"/>
        <v>7.0419999999999998</v>
      </c>
      <c r="BO38" s="288">
        <f t="shared" si="19"/>
        <v>2</v>
      </c>
    </row>
    <row r="39" spans="1:68" ht="15.95" customHeight="1" thickBot="1" x14ac:dyDescent="0.3">
      <c r="A39" s="346"/>
      <c r="B39" s="342">
        <f>IF($I39&lt;&gt;"",IF(WEEKDAY($I39,2)&lt;6,IF(VLOOKUP(WEEKDAY($I39,2),InputUge,3)&gt;0,IF($A39="",VLOOKUP(WEEKDAY($I39,2),InputUge,3)+MAX(B$8:B38),IF($A39&lt;VLOOKUP(WEEKDAY($I39,2),InputUge,3),$A39+MAX(B$8:B38),VLOOKUP(WEEKDAY($I39,2),InputUge,3)+MAX(B$8:B38))),""),""),"")</f>
        <v>171.57</v>
      </c>
      <c r="C39" s="330">
        <f t="shared" si="9"/>
        <v>1</v>
      </c>
      <c r="D39" s="331">
        <f>FLOOR(B39,C39)</f>
        <v>171</v>
      </c>
      <c r="E39" s="331">
        <f>+B39-D39</f>
        <v>0.56999999999999318</v>
      </c>
      <c r="F39" s="331">
        <f t="shared" si="12"/>
        <v>0.34199999999999592</v>
      </c>
      <c r="G39" s="261">
        <f t="shared" si="31"/>
        <v>171.34199999999998</v>
      </c>
      <c r="H39" s="343">
        <v>31</v>
      </c>
      <c r="I39" s="344">
        <f t="shared" si="13"/>
        <v>41305</v>
      </c>
      <c r="J39" s="6">
        <v>0.34791666666666665</v>
      </c>
      <c r="K39" s="6">
        <v>0.73958333333333337</v>
      </c>
      <c r="L39" s="334">
        <f>IF(K39&gt;0,ROUND(((K39-J39)*24)-SUM(BS39:BT39)+BU39,2)+IF(Fredagsfrokost="n",IF(WEEKDAY($I39,2)=5,IF(K39&gt;=0.5,IF(K39&lt;=13/24,0,0),0),0),0),IF(AX39&gt;0,AX39,""))</f>
        <v>9.4</v>
      </c>
      <c r="M39" s="335">
        <f>FLOOR(L39,1)</f>
        <v>9</v>
      </c>
      <c r="N39" s="335">
        <f>+L39-M39</f>
        <v>0.40000000000000036</v>
      </c>
      <c r="O39" s="335">
        <f>+N39/100*60</f>
        <v>0.24000000000000021</v>
      </c>
      <c r="P39" s="336">
        <f>IF(J39="","",O39+M39)</f>
        <v>9.24</v>
      </c>
      <c r="Q39" s="572"/>
      <c r="R39" s="573"/>
      <c r="S39" s="573"/>
      <c r="T39" s="574"/>
      <c r="U39" s="442"/>
      <c r="V39" s="241">
        <f t="shared" si="15"/>
        <v>0</v>
      </c>
      <c r="W39" s="241">
        <f t="shared" si="27"/>
        <v>0</v>
      </c>
      <c r="X39" s="241">
        <f t="shared" si="16"/>
        <v>0</v>
      </c>
      <c r="Y39" s="275">
        <f t="shared" si="28"/>
        <v>0</v>
      </c>
      <c r="Z39" s="442"/>
      <c r="AA39" s="442"/>
      <c r="AB39" s="442"/>
      <c r="AC39" s="442"/>
      <c r="AD39" s="442"/>
      <c r="AE39" s="241">
        <f t="shared" si="42"/>
        <v>0</v>
      </c>
      <c r="AF39" s="241">
        <f t="shared" si="43"/>
        <v>0</v>
      </c>
      <c r="AG39" s="241">
        <f t="shared" si="44"/>
        <v>0</v>
      </c>
      <c r="AH39" s="443">
        <f t="shared" si="45"/>
        <v>0</v>
      </c>
      <c r="AI39" s="442"/>
      <c r="AJ39" s="442"/>
      <c r="AK39" s="442"/>
      <c r="AL39" s="442"/>
      <c r="AM39" s="442"/>
      <c r="AN39" s="476"/>
      <c r="AO39" s="241">
        <f>FLOOR(AN39,1)</f>
        <v>0</v>
      </c>
      <c r="AP39" s="241">
        <f t="shared" si="6"/>
        <v>0</v>
      </c>
      <c r="AQ39" s="241">
        <f t="shared" si="37"/>
        <v>0</v>
      </c>
      <c r="AR39" s="443">
        <f t="shared" si="14"/>
        <v>0</v>
      </c>
      <c r="AS39" s="444"/>
      <c r="AT39" s="444"/>
      <c r="AU39" s="444"/>
      <c r="AV39" s="445"/>
      <c r="BA39" s="345"/>
      <c r="BB39" s="345"/>
      <c r="BC39" s="345"/>
      <c r="BD39" s="345"/>
      <c r="BE39" s="345"/>
      <c r="BF39" s="345"/>
      <c r="BH39" s="339">
        <f>IF($K39&gt;=0,+SUM(L$9:$L39)-$B39+Jan!$BA$41+SUM(AR$9:$AR39)," ")-0.008</f>
        <v>-8.0000000000000002E-3</v>
      </c>
      <c r="BI39" s="330">
        <f t="shared" si="46"/>
        <v>-1</v>
      </c>
      <c r="BJ39" s="331">
        <f t="shared" si="47"/>
        <v>0</v>
      </c>
      <c r="BK39" s="331">
        <f t="shared" si="48"/>
        <v>-8.0000000000000002E-3</v>
      </c>
      <c r="BL39" s="331">
        <f t="shared" si="49"/>
        <v>-4.8000000000000004E-3</v>
      </c>
      <c r="BM39" s="337">
        <f t="shared" si="8"/>
        <v>-4.8000000000000004E-3</v>
      </c>
      <c r="BN39" s="340">
        <f>+P39</f>
        <v>9.24</v>
      </c>
      <c r="BO39" s="288">
        <f t="shared" si="19"/>
        <v>2</v>
      </c>
      <c r="BP39" s="347"/>
    </row>
    <row r="40" spans="1:68" ht="15.95" customHeight="1" thickBot="1" x14ac:dyDescent="0.3">
      <c r="B40" s="348">
        <f>MAX($B$8:$B39)</f>
        <v>171.57</v>
      </c>
      <c r="C40" s="348"/>
      <c r="D40" s="348"/>
      <c r="E40" s="348"/>
      <c r="F40" s="348"/>
      <c r="G40" s="349">
        <f>MAX($G$8:$G39)</f>
        <v>171.34199999999998</v>
      </c>
      <c r="H40" s="350" t="s">
        <v>1</v>
      </c>
      <c r="I40" s="351"/>
      <c r="J40" s="565">
        <f>SUM(L40:L40)-SUM(Q41:R41)</f>
        <v>171.57</v>
      </c>
      <c r="K40" s="566"/>
      <c r="L40" s="287">
        <f>SUM(L9:L39)</f>
        <v>171.57</v>
      </c>
      <c r="M40" s="335">
        <f>FLOOR(L40,1)</f>
        <v>171</v>
      </c>
      <c r="N40" s="335">
        <f>+L40-M40</f>
        <v>0.56999999999999318</v>
      </c>
      <c r="O40" s="335">
        <f>+N40/100*60</f>
        <v>0.34199999999999592</v>
      </c>
      <c r="P40" s="352">
        <f>+O40+M40</f>
        <v>171.34199999999998</v>
      </c>
      <c r="Q40" s="582"/>
      <c r="R40" s="583"/>
      <c r="S40" s="584"/>
      <c r="T40" s="585"/>
      <c r="U40" s="446">
        <f>+AC40</f>
        <v>0</v>
      </c>
      <c r="V40" s="446"/>
      <c r="W40" s="446"/>
      <c r="X40" s="446"/>
      <c r="Y40" s="447">
        <f>SUM(Y9:Y39)</f>
        <v>0</v>
      </c>
      <c r="Z40" s="336">
        <f>FLOOR(Y40,1)</f>
        <v>0</v>
      </c>
      <c r="AA40" s="336">
        <f>+Y40-Z40</f>
        <v>0</v>
      </c>
      <c r="AB40" s="336">
        <f>+AA40/100*60</f>
        <v>0</v>
      </c>
      <c r="AC40" s="336">
        <f>+AB40+Z40</f>
        <v>0</v>
      </c>
      <c r="AD40" s="446">
        <f>+AL40</f>
        <v>0</v>
      </c>
      <c r="AE40" s="446"/>
      <c r="AF40" s="446"/>
      <c r="AG40" s="446"/>
      <c r="AH40" s="447">
        <f>SUM(AH9:AH39)</f>
        <v>0</v>
      </c>
      <c r="AI40" s="336">
        <f>FLOOR(AH40,1)</f>
        <v>0</v>
      </c>
      <c r="AJ40" s="336">
        <f>+AH40-AI40</f>
        <v>0</v>
      </c>
      <c r="AK40" s="336">
        <f>+AJ40/100*60</f>
        <v>0</v>
      </c>
      <c r="AL40" s="336">
        <f>+AK40+AI40</f>
        <v>0</v>
      </c>
      <c r="AM40" s="446"/>
      <c r="AN40" s="479">
        <f>+AV40</f>
        <v>0</v>
      </c>
      <c r="AO40" s="469"/>
      <c r="AP40" s="447"/>
      <c r="AQ40" s="447"/>
      <c r="AR40" s="447">
        <f>SUM(AR9:AR39)</f>
        <v>0</v>
      </c>
      <c r="AS40" s="336">
        <f>FLOOR(AR40,1)</f>
        <v>0</v>
      </c>
      <c r="AT40" s="336">
        <f>+AR40-AS40</f>
        <v>0</v>
      </c>
      <c r="AU40" s="336">
        <f>+AT40/100*60</f>
        <v>0</v>
      </c>
      <c r="AV40" s="336">
        <f>+AU40+AS40</f>
        <v>0</v>
      </c>
      <c r="BA40" s="353"/>
      <c r="BB40" s="353"/>
      <c r="BC40" s="353"/>
      <c r="BD40" s="353"/>
      <c r="BE40" s="353"/>
      <c r="BF40" s="353"/>
      <c r="BH40" s="354"/>
      <c r="BI40" s="327"/>
      <c r="BJ40" s="327"/>
      <c r="BK40" s="327"/>
      <c r="BL40" s="327"/>
      <c r="BM40" s="355"/>
    </row>
    <row r="41" spans="1:68" ht="15.95" customHeight="1" x14ac:dyDescent="0.25">
      <c r="B41" s="356" t="s">
        <v>84</v>
      </c>
      <c r="C41" s="356"/>
      <c r="D41" s="356"/>
      <c r="E41" s="356"/>
      <c r="F41" s="356"/>
      <c r="G41" s="357"/>
      <c r="H41" s="564"/>
      <c r="I41" s="564"/>
      <c r="J41" s="564"/>
      <c r="K41" s="564"/>
      <c r="L41" s="564"/>
      <c r="M41" s="358"/>
      <c r="N41" s="358"/>
      <c r="O41" s="358"/>
      <c r="P41" s="358"/>
      <c r="Q41" s="359"/>
      <c r="R41" s="359"/>
      <c r="S41" s="529" t="s">
        <v>10</v>
      </c>
      <c r="T41" s="530"/>
      <c r="U41" s="530"/>
      <c r="V41" s="530"/>
      <c r="W41" s="530"/>
      <c r="X41" s="530"/>
      <c r="Y41" s="530"/>
      <c r="Z41" s="530"/>
      <c r="AA41" s="530"/>
      <c r="AB41" s="530"/>
      <c r="AC41" s="530"/>
      <c r="AD41" s="531"/>
      <c r="AE41" s="531"/>
      <c r="AF41" s="531"/>
      <c r="AG41" s="531"/>
      <c r="AH41" s="531"/>
      <c r="AI41" s="531"/>
      <c r="AJ41" s="531"/>
      <c r="AK41" s="531"/>
      <c r="AL41" s="531"/>
      <c r="AM41" s="531"/>
      <c r="AN41" s="531"/>
      <c r="AO41" s="448"/>
      <c r="AP41" s="448"/>
      <c r="AQ41" s="448"/>
      <c r="AR41" s="448"/>
      <c r="AS41" s="448"/>
      <c r="AT41" s="448"/>
      <c r="AU41" s="448"/>
      <c r="AV41" s="448"/>
      <c r="AW41" s="538">
        <f>+BF41</f>
        <v>0</v>
      </c>
      <c r="AX41" s="539"/>
      <c r="AY41" s="540"/>
      <c r="BA41" s="360">
        <f>+Resume!AD18</f>
        <v>0</v>
      </c>
      <c r="BB41" s="330">
        <f>IF(BA41&lt;0,-1,1)</f>
        <v>1</v>
      </c>
      <c r="BC41" s="331">
        <f t="shared" ref="BC41:BC47" si="50">FLOOR(BA41,BB41)</f>
        <v>0</v>
      </c>
      <c r="BD41" s="335">
        <f>+BA41-BC41</f>
        <v>0</v>
      </c>
      <c r="BE41" s="335">
        <f>+BD41/100*60</f>
        <v>0</v>
      </c>
      <c r="BF41" s="336">
        <f>+BE41+BC41</f>
        <v>0</v>
      </c>
    </row>
    <row r="42" spans="1:68" ht="15.95" customHeight="1" x14ac:dyDescent="0.25">
      <c r="B42" s="356" t="s">
        <v>83</v>
      </c>
      <c r="C42" s="356"/>
      <c r="D42" s="356"/>
      <c r="E42" s="356"/>
      <c r="F42" s="356"/>
      <c r="G42" s="357"/>
      <c r="H42" s="361"/>
      <c r="I42" s="362"/>
      <c r="J42" s="362"/>
      <c r="K42" s="362"/>
      <c r="L42" s="363"/>
      <c r="M42" s="363"/>
      <c r="N42" s="363"/>
      <c r="O42" s="363"/>
      <c r="P42" s="363"/>
      <c r="Q42" s="363"/>
      <c r="R42" s="363"/>
      <c r="S42" s="532" t="s">
        <v>11</v>
      </c>
      <c r="T42" s="533"/>
      <c r="U42" s="533"/>
      <c r="V42" s="533"/>
      <c r="W42" s="533"/>
      <c r="X42" s="533"/>
      <c r="Y42" s="533"/>
      <c r="Z42" s="533"/>
      <c r="AA42" s="533"/>
      <c r="AB42" s="533"/>
      <c r="AC42" s="533"/>
      <c r="AD42" s="534"/>
      <c r="AE42" s="534"/>
      <c r="AF42" s="534"/>
      <c r="AG42" s="534"/>
      <c r="AH42" s="534"/>
      <c r="AI42" s="534"/>
      <c r="AJ42" s="534"/>
      <c r="AK42" s="534"/>
      <c r="AL42" s="534"/>
      <c r="AM42" s="534"/>
      <c r="AN42" s="534"/>
      <c r="AO42" s="450"/>
      <c r="AP42" s="450"/>
      <c r="AQ42" s="450"/>
      <c r="AR42" s="450"/>
      <c r="AS42" s="450"/>
      <c r="AT42" s="450"/>
      <c r="AU42" s="450"/>
      <c r="AV42" s="450"/>
      <c r="AW42" s="541">
        <f>+BF42</f>
        <v>171.34199999999998</v>
      </c>
      <c r="AX42" s="542"/>
      <c r="AY42" s="542"/>
      <c r="AZ42" s="365"/>
      <c r="BA42" s="360">
        <f>+J40+AR40</f>
        <v>171.57</v>
      </c>
      <c r="BB42" s="330">
        <f>IF(BA42&lt;0,-1,1)</f>
        <v>1</v>
      </c>
      <c r="BC42" s="331">
        <f t="shared" si="50"/>
        <v>171</v>
      </c>
      <c r="BD42" s="335">
        <f>+BA42-BC42</f>
        <v>0.56999999999999318</v>
      </c>
      <c r="BE42" s="335">
        <f>+BD42/100*60</f>
        <v>0.34199999999999592</v>
      </c>
      <c r="BF42" s="336">
        <f>+BE42+BC42</f>
        <v>171.34199999999998</v>
      </c>
    </row>
    <row r="43" spans="1:68" ht="15.95" customHeight="1" x14ac:dyDescent="0.25">
      <c r="H43" s="568"/>
      <c r="I43" s="568"/>
      <c r="J43" s="568"/>
      <c r="K43" s="568"/>
      <c r="L43" s="568"/>
      <c r="M43" s="568"/>
      <c r="N43" s="568"/>
      <c r="O43" s="568"/>
      <c r="P43" s="568"/>
      <c r="Q43" s="568"/>
      <c r="R43" s="568"/>
      <c r="S43" s="532" t="s">
        <v>12</v>
      </c>
      <c r="T43" s="533"/>
      <c r="U43" s="533"/>
      <c r="V43" s="533"/>
      <c r="W43" s="533"/>
      <c r="X43" s="533"/>
      <c r="Y43" s="533"/>
      <c r="Z43" s="533"/>
      <c r="AA43" s="533"/>
      <c r="AB43" s="533"/>
      <c r="AC43" s="533"/>
      <c r="AD43" s="533"/>
      <c r="AE43" s="533"/>
      <c r="AF43" s="533"/>
      <c r="AG43" s="533"/>
      <c r="AH43" s="533"/>
      <c r="AI43" s="533"/>
      <c r="AJ43" s="533"/>
      <c r="AK43" s="533"/>
      <c r="AL43" s="533"/>
      <c r="AM43" s="533"/>
      <c r="AN43" s="533"/>
      <c r="AO43" s="449"/>
      <c r="AP43" s="449"/>
      <c r="AQ43" s="449"/>
      <c r="AR43" s="449"/>
      <c r="AS43" s="449"/>
      <c r="AT43" s="449"/>
      <c r="AU43" s="449"/>
      <c r="AV43" s="449"/>
      <c r="AW43" s="543">
        <f>+BF43</f>
        <v>171.34199999999998</v>
      </c>
      <c r="AX43" s="544"/>
      <c r="AY43" s="542"/>
      <c r="BA43" s="340">
        <f>+B40</f>
        <v>171.57</v>
      </c>
      <c r="BB43" s="330">
        <f>IF(BA43&lt;0,-1,1)</f>
        <v>1</v>
      </c>
      <c r="BC43" s="331">
        <f t="shared" si="50"/>
        <v>171</v>
      </c>
      <c r="BD43" s="335">
        <f>+BA43-BC43</f>
        <v>0.56999999999999318</v>
      </c>
      <c r="BE43" s="335">
        <f>+BD43/100*60</f>
        <v>0.34199999999999592</v>
      </c>
      <c r="BF43" s="336">
        <f>+BE43+BC43</f>
        <v>171.34199999999998</v>
      </c>
    </row>
    <row r="44" spans="1:68" ht="15.95" customHeight="1" thickBot="1" x14ac:dyDescent="0.3">
      <c r="H44" s="567"/>
      <c r="I44" s="567"/>
      <c r="J44" s="567"/>
      <c r="K44" s="567"/>
      <c r="L44" s="567"/>
      <c r="M44" s="567"/>
      <c r="N44" s="567"/>
      <c r="O44" s="567"/>
      <c r="P44" s="567"/>
      <c r="Q44" s="567"/>
      <c r="R44" s="567"/>
      <c r="S44" s="526" t="s">
        <v>13</v>
      </c>
      <c r="T44" s="527"/>
      <c r="U44" s="527"/>
      <c r="V44" s="527"/>
      <c r="W44" s="527"/>
      <c r="X44" s="527"/>
      <c r="Y44" s="527"/>
      <c r="Z44" s="527"/>
      <c r="AA44" s="527"/>
      <c r="AB44" s="527"/>
      <c r="AC44" s="527"/>
      <c r="AD44" s="528"/>
      <c r="AE44" s="528"/>
      <c r="AF44" s="528"/>
      <c r="AG44" s="528"/>
      <c r="AH44" s="528"/>
      <c r="AI44" s="528"/>
      <c r="AJ44" s="528"/>
      <c r="AK44" s="528"/>
      <c r="AL44" s="528"/>
      <c r="AM44" s="528"/>
      <c r="AN44" s="528"/>
      <c r="AO44" s="451"/>
      <c r="AP44" s="451"/>
      <c r="AQ44" s="451"/>
      <c r="AR44" s="451"/>
      <c r="AS44" s="451"/>
      <c r="AT44" s="451"/>
      <c r="AU44" s="451"/>
      <c r="AV44" s="451"/>
      <c r="AW44" s="545">
        <f>+BF44</f>
        <v>0</v>
      </c>
      <c r="AX44" s="546"/>
      <c r="AY44" s="546"/>
      <c r="BA44" s="340">
        <f>+BA42-BA43+BA41</f>
        <v>0</v>
      </c>
      <c r="BB44" s="330">
        <f>IF(BA44&lt;0,-1,1)</f>
        <v>1</v>
      </c>
      <c r="BC44" s="331">
        <f t="shared" si="50"/>
        <v>0</v>
      </c>
      <c r="BD44" s="335">
        <f>+BA44-BC44</f>
        <v>0</v>
      </c>
      <c r="BE44" s="335">
        <f>+BD44/100*60</f>
        <v>0</v>
      </c>
      <c r="BF44" s="336">
        <f>+BE44+BC44</f>
        <v>0</v>
      </c>
    </row>
    <row r="45" spans="1:68" ht="15.95" hidden="1" customHeight="1" x14ac:dyDescent="0.25">
      <c r="H45" s="366"/>
      <c r="I45" s="366"/>
      <c r="J45" s="366"/>
      <c r="K45" s="366"/>
      <c r="L45" s="366"/>
      <c r="M45" s="366"/>
      <c r="N45" s="366"/>
      <c r="O45" s="366"/>
      <c r="P45" s="366"/>
      <c r="Q45" s="366"/>
      <c r="R45" s="366"/>
      <c r="S45" s="367"/>
      <c r="T45" s="368"/>
      <c r="U45" s="368"/>
      <c r="V45" s="368"/>
      <c r="W45" s="368"/>
      <c r="X45" s="368"/>
      <c r="Y45" s="368"/>
      <c r="Z45" s="368"/>
      <c r="AA45" s="368"/>
      <c r="AB45" s="368"/>
      <c r="AC45" s="368"/>
      <c r="AD45" s="364"/>
      <c r="AE45" s="364"/>
      <c r="AF45" s="364"/>
      <c r="AG45" s="364"/>
      <c r="AH45" s="364"/>
      <c r="AI45" s="364"/>
      <c r="AJ45" s="364"/>
      <c r="AK45" s="364"/>
      <c r="AL45" s="364"/>
      <c r="AM45" s="364"/>
      <c r="AN45" s="364"/>
      <c r="AO45" s="364"/>
      <c r="AP45" s="364"/>
      <c r="AQ45" s="364"/>
      <c r="AR45" s="364"/>
      <c r="AS45" s="364"/>
      <c r="AT45" s="364"/>
      <c r="AU45" s="364"/>
      <c r="AV45" s="364"/>
      <c r="AW45" s="158"/>
      <c r="AX45" s="370"/>
      <c r="AY45" s="391"/>
      <c r="BA45" s="340"/>
      <c r="BB45" s="330"/>
      <c r="BC45" s="331"/>
      <c r="BD45" s="397"/>
      <c r="BE45" s="397"/>
      <c r="BF45" s="398"/>
    </row>
    <row r="46" spans="1:68" ht="15.95" hidden="1" customHeight="1" x14ac:dyDescent="0.25">
      <c r="H46" s="366"/>
      <c r="I46" s="366"/>
      <c r="J46" s="356"/>
      <c r="K46" s="366"/>
      <c r="L46" s="366"/>
      <c r="M46" s="366"/>
      <c r="N46" s="366"/>
      <c r="O46" s="366"/>
      <c r="P46" s="366"/>
      <c r="Q46" s="366"/>
      <c r="R46" s="366"/>
      <c r="S46" s="367"/>
      <c r="T46" s="368"/>
      <c r="U46" s="368"/>
      <c r="V46" s="368"/>
      <c r="W46" s="368"/>
      <c r="X46" s="368"/>
      <c r="Y46" s="368"/>
      <c r="Z46" s="368"/>
      <c r="AA46" s="368"/>
      <c r="AB46" s="368"/>
      <c r="AC46" s="368"/>
      <c r="AD46" s="369"/>
      <c r="AE46" s="364"/>
      <c r="AF46" s="364"/>
      <c r="AG46" s="364"/>
      <c r="AH46" s="364"/>
      <c r="AI46" s="364"/>
      <c r="AJ46" s="364"/>
      <c r="AK46" s="364"/>
      <c r="AL46" s="364"/>
      <c r="AM46" s="364"/>
      <c r="AN46" s="364"/>
      <c r="AO46" s="364"/>
      <c r="AP46" s="364"/>
      <c r="AQ46" s="364"/>
      <c r="AR46" s="364"/>
      <c r="AS46" s="364"/>
      <c r="AT46" s="364"/>
      <c r="AU46" s="364"/>
      <c r="AV46" s="364"/>
      <c r="AW46" s="158"/>
      <c r="AX46" s="370"/>
      <c r="AY46" s="169"/>
      <c r="BC46" s="331">
        <f t="shared" si="50"/>
        <v>0</v>
      </c>
    </row>
    <row r="47" spans="1:68" ht="15.95" hidden="1" customHeight="1" thickBot="1" x14ac:dyDescent="0.3">
      <c r="H47" s="361"/>
      <c r="I47" s="361"/>
      <c r="J47" s="356"/>
      <c r="K47" s="361"/>
      <c r="L47" s="361"/>
      <c r="M47" s="361"/>
      <c r="N47" s="361"/>
      <c r="O47" s="361"/>
      <c r="P47" s="361"/>
      <c r="Q47" s="361"/>
      <c r="R47" s="361"/>
      <c r="S47" s="524" t="s">
        <v>76</v>
      </c>
      <c r="T47" s="525"/>
      <c r="U47" s="525"/>
      <c r="V47" s="525"/>
      <c r="W47" s="525"/>
      <c r="X47" s="525"/>
      <c r="Y47" s="525"/>
      <c r="Z47" s="525"/>
      <c r="AA47" s="525"/>
      <c r="AB47" s="525"/>
      <c r="AC47" s="525"/>
      <c r="AD47" s="525"/>
      <c r="AE47" s="525"/>
      <c r="AF47" s="525"/>
      <c r="AG47" s="525"/>
      <c r="AH47" s="525"/>
      <c r="AI47" s="525"/>
      <c r="AJ47" s="525"/>
      <c r="AK47" s="525"/>
      <c r="AL47" s="525"/>
      <c r="AM47" s="525"/>
      <c r="AN47" s="525"/>
      <c r="AO47" s="371"/>
      <c r="AP47" s="371"/>
      <c r="AQ47" s="371"/>
      <c r="AR47" s="371"/>
      <c r="AS47" s="371"/>
      <c r="AT47" s="371"/>
      <c r="AU47" s="371"/>
      <c r="AV47" s="371"/>
      <c r="AW47" s="535">
        <f>+BF47</f>
        <v>0</v>
      </c>
      <c r="AX47" s="536"/>
      <c r="AY47" s="537"/>
      <c r="BA47" s="340">
        <f>+Y40+AH40</f>
        <v>0</v>
      </c>
      <c r="BB47" s="330">
        <f>IF(BA47&lt;0,-1,1)</f>
        <v>1</v>
      </c>
      <c r="BC47" s="331">
        <f t="shared" si="50"/>
        <v>0</v>
      </c>
      <c r="BD47" s="335">
        <f>+BA47-BC47</f>
        <v>0</v>
      </c>
      <c r="BE47" s="335">
        <f>+BD47/100*60</f>
        <v>0</v>
      </c>
      <c r="BF47" s="336">
        <f>+BE47+BC47</f>
        <v>0</v>
      </c>
    </row>
    <row r="48" spans="1:68" ht="15.95" customHeight="1" x14ac:dyDescent="0.25"/>
  </sheetData>
  <sheetProtection sheet="1" objects="1" scenarios="1"/>
  <mergeCells count="60">
    <mergeCell ref="Q40:T40"/>
    <mergeCell ref="Q7:T7"/>
    <mergeCell ref="Q38:T38"/>
    <mergeCell ref="Q39:T39"/>
    <mergeCell ref="Q34:T34"/>
    <mergeCell ref="Q35:T35"/>
    <mergeCell ref="Q36:T36"/>
    <mergeCell ref="Q37:T37"/>
    <mergeCell ref="Q30:T30"/>
    <mergeCell ref="Q31:T31"/>
    <mergeCell ref="Q20:T20"/>
    <mergeCell ref="Q21:T21"/>
    <mergeCell ref="Q32:T32"/>
    <mergeCell ref="Q33:T33"/>
    <mergeCell ref="Q26:T26"/>
    <mergeCell ref="Q27:T27"/>
    <mergeCell ref="Q28:T28"/>
    <mergeCell ref="Q29:T29"/>
    <mergeCell ref="AX5:AZ5"/>
    <mergeCell ref="U5:AW5"/>
    <mergeCell ref="L5:S5"/>
    <mergeCell ref="Q12:T12"/>
    <mergeCell ref="Q9:T9"/>
    <mergeCell ref="Q10:T10"/>
    <mergeCell ref="Q11:T11"/>
    <mergeCell ref="U6:AD6"/>
    <mergeCell ref="H5:K5"/>
    <mergeCell ref="H41:L41"/>
    <mergeCell ref="J40:K40"/>
    <mergeCell ref="H44:R44"/>
    <mergeCell ref="H43:R43"/>
    <mergeCell ref="Q13:T13"/>
    <mergeCell ref="Q14:T14"/>
    <mergeCell ref="Q15:T15"/>
    <mergeCell ref="Q16:T16"/>
    <mergeCell ref="Q17:T17"/>
    <mergeCell ref="Q22:T22"/>
    <mergeCell ref="Q23:T23"/>
    <mergeCell ref="Q24:T24"/>
    <mergeCell ref="Q25:T25"/>
    <mergeCell ref="Q18:T18"/>
    <mergeCell ref="Q19:T19"/>
    <mergeCell ref="H1:AZ1"/>
    <mergeCell ref="H4:K4"/>
    <mergeCell ref="U3:AW3"/>
    <mergeCell ref="L4:S4"/>
    <mergeCell ref="H3:K3"/>
    <mergeCell ref="L3:S3"/>
    <mergeCell ref="AX3:AZ3"/>
    <mergeCell ref="AX4:AZ4"/>
    <mergeCell ref="AW47:AY47"/>
    <mergeCell ref="AW41:AY41"/>
    <mergeCell ref="AW42:AY42"/>
    <mergeCell ref="AW43:AY43"/>
    <mergeCell ref="AW44:AY44"/>
    <mergeCell ref="S47:AN47"/>
    <mergeCell ref="S44:AN44"/>
    <mergeCell ref="S41:AN41"/>
    <mergeCell ref="S42:AN42"/>
    <mergeCell ref="S43:AN43"/>
  </mergeCells>
  <phoneticPr fontId="0" type="noConversion"/>
  <conditionalFormatting sqref="H9:H39">
    <cfRule type="expression" dxfId="295" priority="36" stopIfTrue="1">
      <formula>IF(WEEKDAY($I9,2)&gt;5,1,0)</formula>
    </cfRule>
    <cfRule type="expression" dxfId="294" priority="37" stopIfTrue="1">
      <formula>IF($I9=TODAY(),1,0)</formula>
    </cfRule>
  </conditionalFormatting>
  <conditionalFormatting sqref="Q9:T39 BA9:BF39 J10 J11:K14 J27:K28 J34:K35 J17:K21">
    <cfRule type="expression" dxfId="293" priority="38" stopIfTrue="1">
      <formula>IF(WEEKDAY($B9,2)&lt;6,1,0)</formula>
    </cfRule>
  </conditionalFormatting>
  <conditionalFormatting sqref="AV13 AO9:AQ39 AS40:AV40 V9:X39 BD41:BF45 Z40:AC40 AI40:AL40 BD47:BF47 AE9:AG39 M40:P40 L10:P14 L17:P21 L34:P35 L24:P28">
    <cfRule type="cellIs" dxfId="292" priority="39" stopIfTrue="1" operator="lessThan">
      <formula>0</formula>
    </cfRule>
  </conditionalFormatting>
  <conditionalFormatting sqref="B9:B39 G9:G39">
    <cfRule type="expression" dxfId="291" priority="40" stopIfTrue="1">
      <formula>IF(B9=MAX($B$8:B8),1,0)</formula>
    </cfRule>
  </conditionalFormatting>
  <conditionalFormatting sqref="J9">
    <cfRule type="expression" dxfId="290" priority="34" stopIfTrue="1">
      <formula>IF(WEEKDAY($B9,2)&lt;6,1,0)</formula>
    </cfRule>
  </conditionalFormatting>
  <conditionalFormatting sqref="L9:P9">
    <cfRule type="cellIs" dxfId="289" priority="35" stopIfTrue="1" operator="lessThan">
      <formula>0</formula>
    </cfRule>
  </conditionalFormatting>
  <conditionalFormatting sqref="K10">
    <cfRule type="expression" dxfId="288" priority="33" stopIfTrue="1">
      <formula>IF(WEEKDAY($B10,2)&lt;6,1,0)</formula>
    </cfRule>
  </conditionalFormatting>
  <conditionalFormatting sqref="J15">
    <cfRule type="expression" dxfId="287" priority="31" stopIfTrue="1">
      <formula>IF(WEEKDAY($B15,2)&lt;6,1,0)</formula>
    </cfRule>
  </conditionalFormatting>
  <conditionalFormatting sqref="L15:P15">
    <cfRule type="cellIs" dxfId="286" priority="32" stopIfTrue="1" operator="lessThan">
      <formula>0</formula>
    </cfRule>
  </conditionalFormatting>
  <conditionalFormatting sqref="J16:K16">
    <cfRule type="expression" dxfId="285" priority="29" stopIfTrue="1">
      <formula>IF(WEEKDAY($B16,2)&lt;6,1,0)</formula>
    </cfRule>
  </conditionalFormatting>
  <conditionalFormatting sqref="L16:P16">
    <cfRule type="cellIs" dxfId="284" priority="30" stopIfTrue="1" operator="lessThan">
      <formula>0</formula>
    </cfRule>
  </conditionalFormatting>
  <conditionalFormatting sqref="J24:K26">
    <cfRule type="expression" dxfId="283" priority="28" stopIfTrue="1">
      <formula>IF(WEEKDAY($B24,2)&lt;6,1,0)</formula>
    </cfRule>
  </conditionalFormatting>
  <conditionalFormatting sqref="L33:P33">
    <cfRule type="cellIs" dxfId="282" priority="25" stopIfTrue="1" operator="lessThan">
      <formula>0</formula>
    </cfRule>
  </conditionalFormatting>
  <conditionalFormatting sqref="J33:K33">
    <cfRule type="expression" dxfId="281" priority="24" stopIfTrue="1">
      <formula>IF(WEEKDAY($B33,2)&lt;6,1,0)</formula>
    </cfRule>
  </conditionalFormatting>
  <conditionalFormatting sqref="L22:P22">
    <cfRule type="cellIs" dxfId="280" priority="21" stopIfTrue="1" operator="lessThan">
      <formula>0</formula>
    </cfRule>
  </conditionalFormatting>
  <conditionalFormatting sqref="J22:K22">
    <cfRule type="expression" dxfId="279" priority="20" stopIfTrue="1">
      <formula>IF(WEEKDAY($B22,2)&lt;6,1,0)</formula>
    </cfRule>
  </conditionalFormatting>
  <conditionalFormatting sqref="L23:P23">
    <cfRule type="cellIs" dxfId="278" priority="19" stopIfTrue="1" operator="lessThan">
      <formula>0</formula>
    </cfRule>
  </conditionalFormatting>
  <conditionalFormatting sqref="J23">
    <cfRule type="expression" dxfId="277" priority="18" stopIfTrue="1">
      <formula>IF(WEEKDAY($B23,2)&lt;6,1,0)</formula>
    </cfRule>
  </conditionalFormatting>
  <conditionalFormatting sqref="L31:P32">
    <cfRule type="cellIs" dxfId="276" priority="17" stopIfTrue="1" operator="lessThan">
      <formula>0</formula>
    </cfRule>
  </conditionalFormatting>
  <conditionalFormatting sqref="J31:K32">
    <cfRule type="expression" dxfId="275" priority="16" stopIfTrue="1">
      <formula>IF(WEEKDAY($B31,2)&lt;6,1,0)</formula>
    </cfRule>
  </conditionalFormatting>
  <conditionalFormatting sqref="L29:P29">
    <cfRule type="cellIs" dxfId="274" priority="15" stopIfTrue="1" operator="lessThan">
      <formula>0</formula>
    </cfRule>
  </conditionalFormatting>
  <conditionalFormatting sqref="J29:K29">
    <cfRule type="expression" dxfId="273" priority="14" stopIfTrue="1">
      <formula>IF(WEEKDAY($B29,2)&lt;6,1,0)</formula>
    </cfRule>
  </conditionalFormatting>
  <conditionalFormatting sqref="L30:P30">
    <cfRule type="cellIs" dxfId="272" priority="13" stopIfTrue="1" operator="lessThan">
      <formula>0</formula>
    </cfRule>
  </conditionalFormatting>
  <conditionalFormatting sqref="J30:K30">
    <cfRule type="expression" dxfId="271" priority="12" stopIfTrue="1">
      <formula>IF(WEEKDAY($B30,2)&lt;6,1,0)</formula>
    </cfRule>
  </conditionalFormatting>
  <conditionalFormatting sqref="L38:P39">
    <cfRule type="cellIs" dxfId="270" priority="11" stopIfTrue="1" operator="lessThan">
      <formula>0</formula>
    </cfRule>
  </conditionalFormatting>
  <conditionalFormatting sqref="J38:K39">
    <cfRule type="expression" dxfId="269" priority="10" stopIfTrue="1">
      <formula>IF(WEEKDAY($B38,2)&lt;6,1,0)</formula>
    </cfRule>
  </conditionalFormatting>
  <conditionalFormatting sqref="L36:P36">
    <cfRule type="cellIs" dxfId="268" priority="9" stopIfTrue="1" operator="lessThan">
      <formula>0</formula>
    </cfRule>
  </conditionalFormatting>
  <conditionalFormatting sqref="J36:K36">
    <cfRule type="expression" dxfId="267" priority="8" stopIfTrue="1">
      <formula>IF(WEEKDAY($B36,2)&lt;6,1,0)</formula>
    </cfRule>
  </conditionalFormatting>
  <conditionalFormatting sqref="L37:P37">
    <cfRule type="cellIs" dxfId="266" priority="7" stopIfTrue="1" operator="lessThan">
      <formula>0</formula>
    </cfRule>
  </conditionalFormatting>
  <conditionalFormatting sqref="K15">
    <cfRule type="expression" dxfId="265" priority="5" stopIfTrue="1">
      <formula>IF(WEEKDAY($B15,2)&lt;6,1,0)</formula>
    </cfRule>
  </conditionalFormatting>
  <conditionalFormatting sqref="K9">
    <cfRule type="expression" dxfId="264" priority="4" stopIfTrue="1">
      <formula>IF(WEEKDAY($B9,2)&lt;6,1,0)</formula>
    </cfRule>
  </conditionalFormatting>
  <conditionalFormatting sqref="K23">
    <cfRule type="expression" dxfId="263" priority="3" stopIfTrue="1">
      <formula>IF(WEEKDAY($B23,2)&lt;6,1,0)</formula>
    </cfRule>
  </conditionalFormatting>
  <conditionalFormatting sqref="J37">
    <cfRule type="expression" dxfId="262" priority="2" stopIfTrue="1">
      <formula>IF(WEEKDAY($B37,2)&lt;6,1,0)</formula>
    </cfRule>
  </conditionalFormatting>
  <conditionalFormatting sqref="K37">
    <cfRule type="expression" dxfId="261" priority="1" stopIfTrue="1">
      <formula>IF(WEEKDAY($B37,2)&lt;6,1,0)</formula>
    </cfRule>
  </conditionalFormatting>
  <printOptions horizontalCentered="1" verticalCentered="1"/>
  <pageMargins left="0.31" right="0.19685039370078741" top="0.19685039370078741" bottom="0.59055118110236227" header="0.51181102362204722" footer="0.51181102362204722"/>
  <pageSetup paperSize="8" scale="29" orientation="landscape" horizontalDpi="300" r:id="rId1"/>
  <headerFooter alignWithMargins="0"/>
  <cellWatches>
    <cellWatch r="L4"/>
    <cellWatch r="U6"/>
  </cellWatche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BO44"/>
  <sheetViews>
    <sheetView zoomScale="75" workbookViewId="0">
      <pane xSplit="9" ySplit="8" topLeftCell="J9" activePane="bottomRight" state="frozen"/>
      <selection activeCell="Q7" sqref="Q7:T7"/>
      <selection pane="topRight" activeCell="Q7" sqref="Q7:T7"/>
      <selection pane="bottomLeft" activeCell="Q7" sqref="Q7:T7"/>
      <selection pane="bottomRight" activeCell="J28" sqref="J28:K28"/>
    </sheetView>
  </sheetViews>
  <sheetFormatPr defaultRowHeight="15" x14ac:dyDescent="0.25"/>
  <cols>
    <col min="1" max="1" width="7.140625" bestFit="1" customWidth="1"/>
    <col min="2" max="2" width="9.42578125" hidden="1" customWidth="1"/>
    <col min="3" max="3" width="5.28515625" hidden="1" customWidth="1"/>
    <col min="4" max="6" width="9.85546875" hidden="1" customWidth="1"/>
    <col min="7" max="7" width="10" style="258" customWidth="1"/>
    <col min="8" max="8" width="5.42578125" bestFit="1" customWidth="1"/>
    <col min="9" max="9" width="12" hidden="1" customWidth="1"/>
    <col min="10" max="10" width="7.7109375" bestFit="1" customWidth="1"/>
    <col min="11" max="11" width="7" bestFit="1" customWidth="1"/>
    <col min="12" max="12" width="7.140625" hidden="1" customWidth="1"/>
    <col min="13" max="13" width="7.5703125" hidden="1" customWidth="1"/>
    <col min="14" max="15" width="5.28515625" hidden="1" customWidth="1"/>
    <col min="16" max="16" width="8.140625" customWidth="1"/>
    <col min="17" max="17" width="6.28515625" customWidth="1"/>
    <col min="18" max="18" width="13.7109375" customWidth="1"/>
    <col min="19" max="19" width="0.5703125" customWidth="1"/>
    <col min="20" max="20" width="1.42578125" customWidth="1"/>
    <col min="21" max="21" width="17.85546875" bestFit="1" customWidth="1"/>
    <col min="22" max="29" width="5.28515625" hidden="1" customWidth="1"/>
    <col min="30" max="30" width="16.140625" customWidth="1"/>
    <col min="31" max="38" width="5.28515625" hidden="1" customWidth="1"/>
    <col min="39" max="39" width="24.140625" customWidth="1"/>
    <col min="40" max="47" width="5.28515625" hidden="1" customWidth="1"/>
    <col min="48" max="48" width="2.7109375" customWidth="1"/>
    <col min="49" max="49" width="0.140625" customWidth="1"/>
    <col min="50" max="50" width="6.28515625" customWidth="1"/>
    <col min="51" max="51" width="9.42578125" customWidth="1"/>
    <col min="52" max="52" width="8.5703125" hidden="1" customWidth="1"/>
    <col min="53" max="53" width="6" hidden="1" customWidth="1"/>
    <col min="54" max="54" width="7.5703125" hidden="1" customWidth="1"/>
    <col min="55" max="56" width="6" hidden="1" customWidth="1"/>
    <col min="57" max="57" width="7.5703125" hidden="1" customWidth="1"/>
    <col min="58" max="58" width="9.140625" hidden="1" customWidth="1"/>
    <col min="59" max="60" width="10" style="134" hidden="1" customWidth="1"/>
    <col min="61" max="63" width="9.85546875" style="134" hidden="1" customWidth="1"/>
    <col min="64" max="64" width="12.140625" style="134" bestFit="1" customWidth="1"/>
    <col min="65" max="65" width="4.5703125" hidden="1" customWidth="1"/>
    <col min="66" max="66" width="2.28515625" hidden="1" customWidth="1"/>
    <col min="67" max="68" width="0" hidden="1" customWidth="1"/>
  </cols>
  <sheetData>
    <row r="1" spans="1:66" ht="18" x14ac:dyDescent="0.25">
      <c r="H1" s="547" t="s">
        <v>114</v>
      </c>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174"/>
      <c r="BB1" s="174"/>
      <c r="BC1" s="174"/>
      <c r="BD1" s="174"/>
      <c r="BE1" s="174"/>
    </row>
    <row r="2" spans="1:66" ht="8.1" customHeight="1" x14ac:dyDescent="0.25">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66" ht="15.95" customHeight="1" x14ac:dyDescent="0.25">
      <c r="H3" s="620" t="s">
        <v>5</v>
      </c>
      <c r="I3" s="621"/>
      <c r="J3" s="621"/>
      <c r="K3" s="622"/>
      <c r="L3" s="555" t="str">
        <f>+Resume!H1</f>
        <v>Lars Larsen</v>
      </c>
      <c r="M3" s="556"/>
      <c r="N3" s="556"/>
      <c r="O3" s="556"/>
      <c r="P3" s="556"/>
      <c r="Q3" s="557"/>
      <c r="R3" s="557"/>
      <c r="S3" s="557"/>
      <c r="T3" s="49"/>
      <c r="U3" s="626" t="s">
        <v>7</v>
      </c>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558">
        <f>DATE(Nøgletal!B1,2,1)</f>
        <v>41306</v>
      </c>
      <c r="AX3" s="559"/>
      <c r="AY3" s="560"/>
      <c r="AZ3" s="183"/>
      <c r="BA3" s="183"/>
      <c r="BB3" s="183"/>
      <c r="BC3" s="183"/>
      <c r="BD3" s="183"/>
      <c r="BE3" s="183"/>
    </row>
    <row r="4" spans="1:66" ht="15.95" customHeight="1" x14ac:dyDescent="0.25">
      <c r="H4" s="625" t="s">
        <v>6</v>
      </c>
      <c r="I4" s="625"/>
      <c r="J4" s="625"/>
      <c r="K4" s="625"/>
      <c r="L4" s="550" t="str">
        <f>+Resume!H2</f>
        <v>010101-0101</v>
      </c>
      <c r="M4" s="551"/>
      <c r="N4" s="551"/>
      <c r="O4" s="551"/>
      <c r="P4" s="551"/>
      <c r="Q4" s="551"/>
      <c r="R4" s="551"/>
      <c r="S4" s="551"/>
      <c r="T4" s="50"/>
      <c r="U4" s="17" t="s">
        <v>8</v>
      </c>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8"/>
      <c r="AW4" s="561" t="str">
        <f>IF(Resume!I4&lt;&gt;"",Resume!I4,"")</f>
        <v>1 - bagud</v>
      </c>
      <c r="AX4" s="562"/>
      <c r="AY4" s="563"/>
      <c r="AZ4" s="184"/>
      <c r="BA4" s="184"/>
      <c r="BB4" s="184"/>
      <c r="BC4" s="184"/>
      <c r="BD4" s="184"/>
      <c r="BE4" s="184"/>
    </row>
    <row r="5" spans="1:66" ht="15.95" customHeight="1" x14ac:dyDescent="0.25">
      <c r="H5" s="620" t="s">
        <v>9</v>
      </c>
      <c r="I5" s="621"/>
      <c r="J5" s="621"/>
      <c r="K5" s="622"/>
      <c r="L5" s="555" t="str">
        <f>+Resume!H3</f>
        <v>SKAT</v>
      </c>
      <c r="M5" s="556"/>
      <c r="N5" s="556"/>
      <c r="O5" s="556"/>
      <c r="P5" s="556"/>
      <c r="Q5" s="557"/>
      <c r="R5" s="557"/>
      <c r="S5" s="557"/>
      <c r="T5" s="49"/>
      <c r="U5" s="617"/>
      <c r="V5" s="618"/>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9"/>
      <c r="AW5" s="614"/>
      <c r="AX5" s="615"/>
      <c r="AY5" s="616"/>
      <c r="AZ5" s="185"/>
      <c r="BA5" s="185"/>
      <c r="BB5" s="185"/>
      <c r="BC5" s="185"/>
      <c r="BD5" s="185"/>
      <c r="BE5" s="185"/>
    </row>
    <row r="6" spans="1:66" ht="46.5" customHeight="1" thickBot="1" x14ac:dyDescent="0.3">
      <c r="H6" s="3"/>
      <c r="I6" s="3"/>
      <c r="J6" s="3"/>
      <c r="K6" s="3"/>
      <c r="L6" s="3"/>
      <c r="M6" s="3"/>
      <c r="N6" s="3"/>
      <c r="O6" s="3"/>
      <c r="P6" s="3"/>
      <c r="Q6" s="426"/>
      <c r="R6" s="426"/>
      <c r="S6" s="426"/>
      <c r="T6" s="426"/>
      <c r="U6" s="628" t="s">
        <v>75</v>
      </c>
      <c r="V6" s="628"/>
      <c r="W6" s="628"/>
      <c r="X6" s="628"/>
      <c r="Y6" s="628"/>
      <c r="Z6" s="628"/>
      <c r="AA6" s="628"/>
      <c r="AB6" s="628"/>
      <c r="AC6" s="628"/>
      <c r="AD6" s="628"/>
      <c r="AE6" s="427"/>
      <c r="AF6" s="427"/>
      <c r="AG6" s="427"/>
      <c r="AH6" s="427"/>
      <c r="AI6" s="427"/>
      <c r="AJ6" s="427"/>
      <c r="AK6" s="427"/>
      <c r="AL6" s="427"/>
      <c r="AM6" s="428" t="s">
        <v>77</v>
      </c>
      <c r="AN6" s="429"/>
      <c r="AO6" s="429"/>
      <c r="AP6" s="429"/>
      <c r="AQ6" s="429"/>
      <c r="AR6" s="429"/>
      <c r="AS6" s="429"/>
      <c r="AT6" s="429"/>
      <c r="AU6" s="429"/>
      <c r="AV6" s="426"/>
      <c r="AW6" s="426"/>
      <c r="AX6" s="426"/>
      <c r="AY6" s="426"/>
      <c r="AZ6" s="101"/>
      <c r="BA6" s="101"/>
      <c r="BB6" s="101"/>
      <c r="BC6" s="101"/>
      <c r="BD6" s="101"/>
      <c r="BE6" s="101"/>
    </row>
    <row r="7" spans="1:66" s="218" customFormat="1" ht="54" customHeight="1" thickBot="1" x14ac:dyDescent="0.3">
      <c r="A7" s="209" t="s">
        <v>58</v>
      </c>
      <c r="B7" s="210" t="s">
        <v>18</v>
      </c>
      <c r="C7" s="211"/>
      <c r="D7" s="211"/>
      <c r="E7" s="211"/>
      <c r="F7" s="211"/>
      <c r="G7" s="259" t="s">
        <v>18</v>
      </c>
      <c r="H7" s="212" t="s">
        <v>2</v>
      </c>
      <c r="I7" s="213"/>
      <c r="J7" s="214" t="s">
        <v>3</v>
      </c>
      <c r="K7" s="214" t="s">
        <v>4</v>
      </c>
      <c r="L7" s="215" t="s">
        <v>0</v>
      </c>
      <c r="M7" s="216"/>
      <c r="N7" s="216"/>
      <c r="O7" s="216"/>
      <c r="P7" s="216" t="s">
        <v>69</v>
      </c>
      <c r="Q7" s="586" t="s">
        <v>115</v>
      </c>
      <c r="R7" s="587"/>
      <c r="S7" s="587"/>
      <c r="T7" s="588"/>
      <c r="U7" s="452" t="s">
        <v>116</v>
      </c>
      <c r="V7" s="452"/>
      <c r="W7" s="452"/>
      <c r="X7" s="452"/>
      <c r="Y7" s="452"/>
      <c r="Z7" s="452"/>
      <c r="AA7" s="452"/>
      <c r="AB7" s="452"/>
      <c r="AC7" s="452"/>
      <c r="AD7" s="452" t="s">
        <v>68</v>
      </c>
      <c r="AE7" s="452"/>
      <c r="AF7" s="452"/>
      <c r="AG7" s="452"/>
      <c r="AH7" s="452"/>
      <c r="AI7" s="452"/>
      <c r="AJ7" s="452"/>
      <c r="AK7" s="452"/>
      <c r="AL7" s="452"/>
      <c r="AM7" s="453" t="s">
        <v>91</v>
      </c>
      <c r="AN7" s="454"/>
      <c r="AO7" s="454"/>
      <c r="AP7" s="454"/>
      <c r="AQ7" s="454"/>
      <c r="AR7" s="454"/>
      <c r="AS7" s="454"/>
      <c r="AT7" s="454"/>
      <c r="AU7" s="454"/>
      <c r="AZ7" s="217"/>
      <c r="BA7" s="217"/>
      <c r="BB7" s="217"/>
      <c r="BC7" s="217"/>
      <c r="BD7" s="217"/>
      <c r="BE7" s="217"/>
      <c r="BG7" s="219" t="s">
        <v>61</v>
      </c>
      <c r="BH7" s="220"/>
      <c r="BI7" s="220"/>
      <c r="BJ7" s="220"/>
      <c r="BK7" s="220"/>
      <c r="BL7" s="221" t="s">
        <v>70</v>
      </c>
    </row>
    <row r="8" spans="1:66" s="234" customFormat="1" ht="54" hidden="1" customHeight="1" x14ac:dyDescent="0.25">
      <c r="A8" s="222"/>
      <c r="B8" s="223" t="str">
        <f>IF($I8&lt;&gt;"",IF(WEEKDAY($I8,2)&lt;6,IF(VLOOKUP(WEEKDAY($I8,2),InputUge,3)&gt;0,IF($A8="",VLOOKUP(WEEKDAY($I8,2),InputUge,3)+MAX(B7:B$8),IF($A8&lt;VLOOKUP(WEEKDAY($I8,2),InputUge,3),$A8+MAX(B7:B$8),VLOOKUP(WEEKDAY($I8,2),InputUge,3)+MAX(B7:B$8))),""),""),"")</f>
        <v/>
      </c>
      <c r="C8" s="224"/>
      <c r="D8" s="224"/>
      <c r="E8" s="224"/>
      <c r="F8" s="224"/>
      <c r="G8" s="260"/>
      <c r="H8" s="225"/>
      <c r="I8" s="226"/>
      <c r="J8" s="227"/>
      <c r="K8" s="227"/>
      <c r="L8" s="228"/>
      <c r="M8" s="229"/>
      <c r="N8" s="229"/>
      <c r="O8" s="229"/>
      <c r="P8" s="229"/>
      <c r="Q8" s="230"/>
      <c r="R8" s="230"/>
      <c r="S8" s="231"/>
      <c r="T8" s="231"/>
      <c r="U8" s="231"/>
      <c r="V8" s="231"/>
      <c r="W8" s="231"/>
      <c r="X8" s="231"/>
      <c r="Y8" s="231"/>
      <c r="Z8" s="231"/>
      <c r="AA8" s="231"/>
      <c r="AB8" s="231"/>
      <c r="AC8" s="231"/>
      <c r="AD8" s="231"/>
      <c r="AE8" s="231"/>
      <c r="AF8" s="231"/>
      <c r="AG8" s="231"/>
      <c r="AH8" s="231"/>
      <c r="AI8" s="231"/>
      <c r="AJ8" s="231"/>
      <c r="AK8" s="231"/>
      <c r="AL8" s="231"/>
      <c r="AM8" s="232"/>
      <c r="AN8" s="232"/>
      <c r="AO8" s="232"/>
      <c r="AP8" s="232"/>
      <c r="AQ8" s="232"/>
      <c r="AR8" s="232"/>
      <c r="AS8" s="232"/>
      <c r="AT8" s="232"/>
      <c r="AU8" s="232"/>
      <c r="AZ8" s="233"/>
      <c r="BA8" s="233"/>
      <c r="BB8" s="233"/>
      <c r="BC8" s="233"/>
      <c r="BD8" s="233"/>
      <c r="BE8" s="233"/>
      <c r="BG8" s="235"/>
      <c r="BH8" s="236"/>
      <c r="BI8" s="236"/>
      <c r="BJ8" s="236"/>
      <c r="BK8" s="236"/>
      <c r="BL8" s="237"/>
    </row>
    <row r="9" spans="1:66" s="234" customFormat="1" ht="20.25" customHeight="1" x14ac:dyDescent="0.25">
      <c r="A9" s="83"/>
      <c r="B9" s="84">
        <f>IF($I9&lt;&gt;"",IF(WEEKDAY($I9,2)&lt;6,IF(VLOOKUP(WEEKDAY($I9,2),InputUge,3)&gt;0,IF($A9="",VLOOKUP(WEEKDAY($I9,2),InputUge,3)+MAX(B$8:B8),IF($A9&lt;VLOOKUP(WEEKDAY($I9,2),InputUge,3),$A9+MAX(B$8:B8),VLOOKUP(WEEKDAY($I9,2),InputUge,3)+MAX(B$8:B8))),""),""),"")</f>
        <v>6.4</v>
      </c>
      <c r="C9" s="144">
        <f t="shared" ref="C9:C37" si="0">IF(B9&lt;0,-1,1)</f>
        <v>1</v>
      </c>
      <c r="D9" s="146">
        <f>FLOOR(B9,C9)</f>
        <v>6</v>
      </c>
      <c r="E9" s="146">
        <f>+B9-D9</f>
        <v>0.40000000000000036</v>
      </c>
      <c r="F9" s="146">
        <f t="shared" ref="F9:F37" si="1">+E9/100*60</f>
        <v>0.24000000000000021</v>
      </c>
      <c r="G9" s="261">
        <f>+F9+D9</f>
        <v>6.24</v>
      </c>
      <c r="H9" s="238">
        <v>1</v>
      </c>
      <c r="I9" s="239">
        <f>+Jan!I39+1</f>
        <v>41306</v>
      </c>
      <c r="J9" s="6">
        <v>0.34791666666666665</v>
      </c>
      <c r="K9" s="6">
        <v>0.61458333333333337</v>
      </c>
      <c r="L9" s="5">
        <f t="shared" ref="L9:L23" si="2">IF(K9&gt;0,ROUND(((K9-J9)*24)-SUM(BR9:BS9)+BT9,2)+IF(Fredagsfrokost="n",IF(WEEKDAY($I9,2)=5,IF(K9&gt;=0.5,IF(K9&lt;=13/24,0,0),0),0),0),IF(AW9&gt;0,AW9,""))</f>
        <v>6.4</v>
      </c>
      <c r="M9" s="141">
        <f t="shared" ref="M9:M23" si="3">FLOOR(L9,1)</f>
        <v>6</v>
      </c>
      <c r="N9" s="141">
        <f t="shared" ref="N9:N23" si="4">+L9-M9</f>
        <v>0.40000000000000036</v>
      </c>
      <c r="O9" s="141">
        <f t="shared" ref="O9:O23" si="5">+N9/100*60</f>
        <v>0.24000000000000021</v>
      </c>
      <c r="P9" s="241">
        <f>IF(J9="","",O9+M9)</f>
        <v>6.24</v>
      </c>
      <c r="Q9" s="591"/>
      <c r="R9" s="592"/>
      <c r="S9" s="592"/>
      <c r="T9" s="593"/>
      <c r="U9" s="417"/>
      <c r="V9" s="240">
        <f>FLOOR(U9,1)</f>
        <v>0</v>
      </c>
      <c r="W9" s="240">
        <f>+U9-V9</f>
        <v>0</v>
      </c>
      <c r="X9" s="240">
        <f>+W9/60*100</f>
        <v>0</v>
      </c>
      <c r="Y9" s="243">
        <f>+X9+V9</f>
        <v>0</v>
      </c>
      <c r="Z9" s="417"/>
      <c r="AA9" s="417"/>
      <c r="AB9" s="417"/>
      <c r="AC9" s="417"/>
      <c r="AD9" s="417"/>
      <c r="AE9" s="240">
        <f t="shared" ref="AE9:AE37" si="6">FLOOR(AD9,1)</f>
        <v>0</v>
      </c>
      <c r="AF9" s="240">
        <f>+AD9-AE9</f>
        <v>0</v>
      </c>
      <c r="AG9" s="240">
        <f t="shared" ref="AG9:AG37" si="7">+AF9/60*100</f>
        <v>0</v>
      </c>
      <c r="AH9" s="243">
        <f>+AG9+AE9</f>
        <v>0</v>
      </c>
      <c r="AI9" s="417"/>
      <c r="AJ9" s="417"/>
      <c r="AK9" s="417"/>
      <c r="AL9" s="417"/>
      <c r="AM9" s="472"/>
      <c r="AN9" s="240">
        <f t="shared" ref="AN9:AN37" si="8">FLOOR(AM9,1)</f>
        <v>0</v>
      </c>
      <c r="AO9" s="240">
        <f t="shared" ref="AO9:AO37" si="9">+AM9-AN9</f>
        <v>0</v>
      </c>
      <c r="AP9" s="240">
        <f t="shared" ref="AP9:AP37" si="10">+AO9/60*100</f>
        <v>0</v>
      </c>
      <c r="AQ9" s="242">
        <f>+AP9+AN9</f>
        <v>0</v>
      </c>
      <c r="AR9" s="419"/>
      <c r="AS9" s="419"/>
      <c r="AT9" s="419"/>
      <c r="AU9" s="419"/>
      <c r="AZ9" s="189"/>
      <c r="BA9" s="189"/>
      <c r="BB9" s="189"/>
      <c r="BC9" s="189"/>
      <c r="BD9" s="189"/>
      <c r="BE9" s="189"/>
      <c r="BG9" s="145">
        <f>IF($K9&gt;=0,+SUM(L$9:$L9)-$B9+Feb!$AZ$39+SUM(AQ$9:$AQ9)," ")</f>
        <v>0</v>
      </c>
      <c r="BH9" s="144">
        <f>IF(BG9&lt;0,-1,1)</f>
        <v>1</v>
      </c>
      <c r="BI9" s="146">
        <f>FLOOR(BG9,BH9)</f>
        <v>0</v>
      </c>
      <c r="BJ9" s="146">
        <f>+BG9-BI9</f>
        <v>0</v>
      </c>
      <c r="BK9" s="146">
        <f>+BJ9/100*60</f>
        <v>0</v>
      </c>
      <c r="BL9" s="164">
        <f>IF(BN9=2,+BK9+BI9,"")</f>
        <v>0</v>
      </c>
      <c r="BM9" s="244">
        <f t="shared" ref="BM9:BM14" si="11">+P9</f>
        <v>6.24</v>
      </c>
      <c r="BN9" s="234">
        <f t="shared" ref="BN9:BN14" si="12">+IF(BM9="",1,2)</f>
        <v>2</v>
      </c>
    </row>
    <row r="10" spans="1:66" ht="15.95" customHeight="1" x14ac:dyDescent="0.25">
      <c r="A10" s="83"/>
      <c r="B10" s="84" t="str">
        <f>IF($I10&lt;&gt;"",IF(WEEKDAY($I10,2)&lt;6,IF(VLOOKUP(WEEKDAY($I10,2),InputUge,3)&gt;0,IF($A10="",VLOOKUP(WEEKDAY($I10,2),InputUge,3)+MAX(B$8:B9),IF($A10&lt;VLOOKUP(WEEKDAY($I10,2),InputUge,3),$A10+MAX(B$8:B9),VLOOKUP(WEEKDAY($I10,2),InputUge,3)+MAX(B$8:B9))),""),""),"")</f>
        <v/>
      </c>
      <c r="C10" s="144">
        <f t="shared" si="0"/>
        <v>1</v>
      </c>
      <c r="D10" s="146" t="e">
        <f t="shared" ref="D10:D34" si="13">FLOOR(B10,C10)</f>
        <v>#VALUE!</v>
      </c>
      <c r="E10" s="146" t="e">
        <f t="shared" ref="E10:E34" si="14">+B10-D10</f>
        <v>#VALUE!</v>
      </c>
      <c r="F10" s="146" t="e">
        <f t="shared" si="1"/>
        <v>#VALUE!</v>
      </c>
      <c r="G10" s="261"/>
      <c r="H10" s="4">
        <v>2</v>
      </c>
      <c r="I10" s="16">
        <f>+I9+1</f>
        <v>41307</v>
      </c>
      <c r="J10" s="6"/>
      <c r="K10" s="6"/>
      <c r="L10" s="5" t="str">
        <f t="shared" si="2"/>
        <v/>
      </c>
      <c r="M10" s="141" t="e">
        <f t="shared" si="3"/>
        <v>#VALUE!</v>
      </c>
      <c r="N10" s="141" t="e">
        <f t="shared" si="4"/>
        <v>#VALUE!</v>
      </c>
      <c r="O10" s="141" t="e">
        <f t="shared" si="5"/>
        <v>#VALUE!</v>
      </c>
      <c r="P10" s="162" t="str">
        <f>IF(J10="","",O10+M10)</f>
        <v/>
      </c>
      <c r="Q10" s="591"/>
      <c r="R10" s="592"/>
      <c r="S10" s="592"/>
      <c r="T10" s="593"/>
      <c r="U10" s="417"/>
      <c r="V10" s="240">
        <f>FLOOR(U10,1)</f>
        <v>0</v>
      </c>
      <c r="W10" s="240">
        <f>+U10-V10</f>
        <v>0</v>
      </c>
      <c r="X10" s="240">
        <f>+W10/60*100</f>
        <v>0</v>
      </c>
      <c r="Y10" s="243">
        <f>+X10+V10</f>
        <v>0</v>
      </c>
      <c r="Z10" s="417"/>
      <c r="AA10" s="417"/>
      <c r="AB10" s="417"/>
      <c r="AC10" s="417"/>
      <c r="AD10" s="417"/>
      <c r="AE10" s="240">
        <f t="shared" si="6"/>
        <v>0</v>
      </c>
      <c r="AF10" s="240">
        <f t="shared" ref="AF10:AF37" si="15">+AD10-AE10</f>
        <v>0</v>
      </c>
      <c r="AG10" s="240">
        <f t="shared" si="7"/>
        <v>0</v>
      </c>
      <c r="AH10" s="243">
        <f t="shared" ref="AH10:AH37" si="16">+AG10+AE10</f>
        <v>0</v>
      </c>
      <c r="AI10" s="417"/>
      <c r="AJ10" s="417"/>
      <c r="AK10" s="417"/>
      <c r="AL10" s="417"/>
      <c r="AM10" s="472"/>
      <c r="AN10" s="240">
        <f t="shared" si="8"/>
        <v>0</v>
      </c>
      <c r="AO10" s="240">
        <f t="shared" si="9"/>
        <v>0</v>
      </c>
      <c r="AP10" s="240">
        <f t="shared" si="10"/>
        <v>0</v>
      </c>
      <c r="AQ10" s="242">
        <f t="shared" ref="AQ10:AQ37" si="17">+AP10+AN10</f>
        <v>0</v>
      </c>
      <c r="AR10" s="419"/>
      <c r="AS10" s="419"/>
      <c r="AT10" s="419"/>
      <c r="AU10" s="419"/>
      <c r="AZ10" s="189"/>
      <c r="BA10" s="189"/>
      <c r="BB10" s="189"/>
      <c r="BC10" s="189"/>
      <c r="BD10" s="189"/>
      <c r="BE10" s="189"/>
      <c r="BG10" s="145" t="e">
        <f>IF($K10&gt;=0,+SUM(L$9:$L10)-$B10+Feb!$AZ$39+SUM(AQ$9:$AQ10)," ")</f>
        <v>#VALUE!</v>
      </c>
      <c r="BH10" s="144" t="e">
        <f>IF(BG10&lt;0,-1,1)</f>
        <v>#VALUE!</v>
      </c>
      <c r="BI10" s="146" t="e">
        <f>FLOOR(BG10,BH10)</f>
        <v>#VALUE!</v>
      </c>
      <c r="BJ10" s="146" t="e">
        <f>+BG10-BI10</f>
        <v>#VALUE!</v>
      </c>
      <c r="BK10" s="146" t="e">
        <f>+BJ10/100*60</f>
        <v>#VALUE!</v>
      </c>
      <c r="BL10" s="164" t="str">
        <f>IF(BN10=2,+BK10+BI10,"")</f>
        <v/>
      </c>
      <c r="BM10" s="157" t="str">
        <f t="shared" si="11"/>
        <v/>
      </c>
      <c r="BN10">
        <f t="shared" si="12"/>
        <v>1</v>
      </c>
    </row>
    <row r="11" spans="1:66" ht="15.95" customHeight="1" x14ac:dyDescent="0.25">
      <c r="A11" s="83"/>
      <c r="B11" s="84" t="str">
        <f>IF($I11&lt;&gt;"",IF(WEEKDAY($I11,2)&lt;6,IF(VLOOKUP(WEEKDAY($I11,2),InputUge,3)&gt;0,IF($A11="",VLOOKUP(WEEKDAY($I11,2),InputUge,3)+MAX(B$8:B10),IF($A11&lt;VLOOKUP(WEEKDAY($I11,2),InputUge,3),$A11+MAX(B$8:B10),VLOOKUP(WEEKDAY($I11,2),InputUge,3)+MAX(B$8:B10))),""),""),"")</f>
        <v/>
      </c>
      <c r="C11" s="144">
        <f t="shared" si="0"/>
        <v>1</v>
      </c>
      <c r="D11" s="146" t="e">
        <f t="shared" si="13"/>
        <v>#VALUE!</v>
      </c>
      <c r="E11" s="146" t="e">
        <f t="shared" si="14"/>
        <v>#VALUE!</v>
      </c>
      <c r="F11" s="146" t="e">
        <f t="shared" si="1"/>
        <v>#VALUE!</v>
      </c>
      <c r="G11" s="261"/>
      <c r="H11" s="4">
        <v>3</v>
      </c>
      <c r="I11" s="16">
        <f t="shared" ref="I11:I36" si="18">+I10+1</f>
        <v>41308</v>
      </c>
      <c r="J11" s="6"/>
      <c r="K11" s="6"/>
      <c r="L11" s="5" t="str">
        <f t="shared" si="2"/>
        <v/>
      </c>
      <c r="M11" s="141" t="e">
        <f t="shared" si="3"/>
        <v>#VALUE!</v>
      </c>
      <c r="N11" s="141" t="e">
        <f t="shared" si="4"/>
        <v>#VALUE!</v>
      </c>
      <c r="O11" s="141" t="e">
        <f t="shared" si="5"/>
        <v>#VALUE!</v>
      </c>
      <c r="P11" s="162" t="str">
        <f>IF(J11="","",O11+M11)</f>
        <v/>
      </c>
      <c r="Q11" s="591"/>
      <c r="R11" s="592"/>
      <c r="S11" s="592"/>
      <c r="T11" s="593"/>
      <c r="U11" s="417"/>
      <c r="V11" s="240">
        <f>FLOOR(U11,1)</f>
        <v>0</v>
      </c>
      <c r="W11" s="240">
        <f>+U11-V11</f>
        <v>0</v>
      </c>
      <c r="X11" s="240">
        <f>+W11/60*100</f>
        <v>0</v>
      </c>
      <c r="Y11" s="243">
        <f>+X11+V11</f>
        <v>0</v>
      </c>
      <c r="Z11" s="417"/>
      <c r="AA11" s="417"/>
      <c r="AB11" s="417"/>
      <c r="AC11" s="417"/>
      <c r="AD11" s="417"/>
      <c r="AE11" s="240">
        <f t="shared" si="6"/>
        <v>0</v>
      </c>
      <c r="AF11" s="240">
        <f t="shared" si="15"/>
        <v>0</v>
      </c>
      <c r="AG11" s="240">
        <f t="shared" si="7"/>
        <v>0</v>
      </c>
      <c r="AH11" s="243">
        <f t="shared" si="16"/>
        <v>0</v>
      </c>
      <c r="AI11" s="417"/>
      <c r="AJ11" s="417"/>
      <c r="AK11" s="417"/>
      <c r="AL11" s="417"/>
      <c r="AM11" s="472"/>
      <c r="AN11" s="240">
        <f t="shared" si="8"/>
        <v>0</v>
      </c>
      <c r="AO11" s="240">
        <f t="shared" si="9"/>
        <v>0</v>
      </c>
      <c r="AP11" s="240">
        <f t="shared" si="10"/>
        <v>0</v>
      </c>
      <c r="AQ11" s="242">
        <f t="shared" si="17"/>
        <v>0</v>
      </c>
      <c r="AR11" s="420"/>
      <c r="AS11" s="420"/>
      <c r="AT11" s="420"/>
      <c r="AU11" s="420"/>
      <c r="AZ11" s="189"/>
      <c r="BA11" s="189"/>
      <c r="BB11" s="189"/>
      <c r="BC11" s="189"/>
      <c r="BD11" s="189"/>
      <c r="BE11" s="189"/>
      <c r="BG11" s="145" t="e">
        <f>IF($K11&gt;=0,+SUM(L$9:$L11)-$B11+Feb!$AZ$39+SUM(AQ$9:$AQ11)," ")</f>
        <v>#VALUE!</v>
      </c>
      <c r="BH11" s="144" t="e">
        <f>IF(BG11&lt;0,-1,1)</f>
        <v>#VALUE!</v>
      </c>
      <c r="BI11" s="146" t="e">
        <f>FLOOR(BG11,BH11)</f>
        <v>#VALUE!</v>
      </c>
      <c r="BJ11" s="146" t="e">
        <f>+BG11-BI11</f>
        <v>#VALUE!</v>
      </c>
      <c r="BK11" s="146" t="e">
        <f>+BJ11/100*60</f>
        <v>#VALUE!</v>
      </c>
      <c r="BL11" s="164" t="str">
        <f>IF(BN11=2,+BK11+BI11,"")</f>
        <v/>
      </c>
      <c r="BM11" s="157" t="str">
        <f t="shared" si="11"/>
        <v/>
      </c>
      <c r="BN11">
        <f t="shared" si="12"/>
        <v>1</v>
      </c>
    </row>
    <row r="12" spans="1:66" ht="15.95" customHeight="1" x14ac:dyDescent="0.25">
      <c r="A12" s="83"/>
      <c r="B12" s="84">
        <f>IF($I12&lt;&gt;"",IF(WEEKDAY($I12,2)&lt;6,IF(VLOOKUP(WEEKDAY($I12,2),InputUge,3)&gt;0,IF($A12="",VLOOKUP(WEEKDAY($I12,2),InputUge,3)+MAX(B$8:B11),IF($A12&lt;VLOOKUP(WEEKDAY($I12,2),InputUge,3),$A12+MAX(B$8:B11),VLOOKUP(WEEKDAY($I12,2),InputUge,3)+MAX(B$8:B11))),""),""),"")</f>
        <v>13.463333333333335</v>
      </c>
      <c r="C12" s="144">
        <f t="shared" si="0"/>
        <v>1</v>
      </c>
      <c r="D12" s="146">
        <f t="shared" si="13"/>
        <v>13</v>
      </c>
      <c r="E12" s="146">
        <f t="shared" si="14"/>
        <v>0.46333333333333471</v>
      </c>
      <c r="F12" s="146">
        <f t="shared" si="1"/>
        <v>0.2780000000000008</v>
      </c>
      <c r="G12" s="261">
        <f t="shared" ref="G12:G36" si="19">+F12+D12</f>
        <v>13.278</v>
      </c>
      <c r="H12" s="4">
        <v>4</v>
      </c>
      <c r="I12" s="16">
        <f t="shared" si="18"/>
        <v>41309</v>
      </c>
      <c r="J12" s="6">
        <v>0.34791666666666665</v>
      </c>
      <c r="K12" s="6">
        <v>0.64236111111111105</v>
      </c>
      <c r="L12" s="5">
        <f t="shared" si="2"/>
        <v>7.07</v>
      </c>
      <c r="M12" s="141">
        <f t="shared" si="3"/>
        <v>7</v>
      </c>
      <c r="N12" s="141">
        <f t="shared" si="4"/>
        <v>7.0000000000000284E-2</v>
      </c>
      <c r="O12" s="141">
        <f t="shared" si="5"/>
        <v>4.2000000000000169E-2</v>
      </c>
      <c r="P12" s="162">
        <f>IF(J12="","",O12+M12)</f>
        <v>7.0419999999999998</v>
      </c>
      <c r="Q12" s="591"/>
      <c r="R12" s="592"/>
      <c r="S12" s="592"/>
      <c r="T12" s="593"/>
      <c r="U12" s="417"/>
      <c r="V12" s="240">
        <f>FLOOR(U12,1)</f>
        <v>0</v>
      </c>
      <c r="W12" s="240">
        <f>+U12-V12</f>
        <v>0</v>
      </c>
      <c r="X12" s="240">
        <f>+W12/60*100</f>
        <v>0</v>
      </c>
      <c r="Y12" s="243">
        <f>+X12+V12</f>
        <v>0</v>
      </c>
      <c r="Z12" s="417"/>
      <c r="AA12" s="417"/>
      <c r="AB12" s="417"/>
      <c r="AC12" s="417"/>
      <c r="AD12" s="417"/>
      <c r="AE12" s="240">
        <f t="shared" si="6"/>
        <v>0</v>
      </c>
      <c r="AF12" s="240">
        <f t="shared" si="15"/>
        <v>0</v>
      </c>
      <c r="AG12" s="240">
        <f t="shared" si="7"/>
        <v>0</v>
      </c>
      <c r="AH12" s="243">
        <f t="shared" si="16"/>
        <v>0</v>
      </c>
      <c r="AI12" s="417"/>
      <c r="AJ12" s="417"/>
      <c r="AK12" s="417"/>
      <c r="AL12" s="417"/>
      <c r="AM12" s="472"/>
      <c r="AN12" s="240">
        <f t="shared" si="8"/>
        <v>0</v>
      </c>
      <c r="AO12" s="240">
        <f t="shared" si="9"/>
        <v>0</v>
      </c>
      <c r="AP12" s="240">
        <f t="shared" si="10"/>
        <v>0</v>
      </c>
      <c r="AQ12" s="242">
        <f t="shared" si="17"/>
        <v>0</v>
      </c>
      <c r="AR12" s="420"/>
      <c r="AS12" s="420"/>
      <c r="AT12" s="420"/>
      <c r="AU12" s="420"/>
      <c r="AZ12" s="189"/>
      <c r="BA12" s="189"/>
      <c r="BB12" s="189"/>
      <c r="BC12" s="189"/>
      <c r="BD12" s="189"/>
      <c r="BE12" s="189"/>
      <c r="BG12" s="145">
        <f>IF($K12&gt;=0,+SUM(L$9:$L12)-$B12+Feb!$AZ$39+SUM(AQ$9:$AQ12)," ")</f>
        <v>6.6666666666659324E-3</v>
      </c>
      <c r="BH12" s="144">
        <f>IF(BG12&lt;0,-1,1)</f>
        <v>1</v>
      </c>
      <c r="BI12" s="146">
        <f>FLOOR(BG12,BH12)</f>
        <v>0</v>
      </c>
      <c r="BJ12" s="146">
        <f>+BG12-BI12</f>
        <v>6.6666666666659324E-3</v>
      </c>
      <c r="BK12" s="146">
        <f>+BJ12/100*60</f>
        <v>3.9999999999995595E-3</v>
      </c>
      <c r="BL12" s="164">
        <f t="shared" ref="BL12:BL36" si="20">IF(BN12=2,+BK12+BI12,"")</f>
        <v>3.9999999999995595E-3</v>
      </c>
      <c r="BM12" s="157">
        <f t="shared" si="11"/>
        <v>7.0419999999999998</v>
      </c>
      <c r="BN12">
        <f t="shared" si="12"/>
        <v>2</v>
      </c>
    </row>
    <row r="13" spans="1:66" ht="15.95" customHeight="1" x14ac:dyDescent="0.25">
      <c r="A13" s="83"/>
      <c r="B13" s="84">
        <f>IF($I13&lt;&gt;"",IF(WEEKDAY($I13,2)&lt;6,IF(VLOOKUP(WEEKDAY($I13,2),InputUge,3)&gt;0,IF($A13="",VLOOKUP(WEEKDAY($I13,2),InputUge,3)+MAX(B$8:B12),IF($A13&lt;VLOOKUP(WEEKDAY($I13,2),InputUge,3),$A13+MAX(B$8:B12),VLOOKUP(WEEKDAY($I13,2),InputUge,3)+MAX(B$8:B12))),""),""),"")</f>
        <v>20.53</v>
      </c>
      <c r="C13" s="144">
        <f t="shared" si="0"/>
        <v>1</v>
      </c>
      <c r="D13" s="146">
        <f t="shared" si="13"/>
        <v>20</v>
      </c>
      <c r="E13" s="146">
        <f t="shared" si="14"/>
        <v>0.53000000000000114</v>
      </c>
      <c r="F13" s="146">
        <f t="shared" si="1"/>
        <v>0.31800000000000067</v>
      </c>
      <c r="G13" s="261">
        <f t="shared" si="19"/>
        <v>20.318000000000001</v>
      </c>
      <c r="H13" s="4">
        <v>5</v>
      </c>
      <c r="I13" s="16">
        <f t="shared" si="18"/>
        <v>41310</v>
      </c>
      <c r="J13" s="6">
        <v>0.34814814814814815</v>
      </c>
      <c r="K13" s="6">
        <v>0.64236111111111105</v>
      </c>
      <c r="L13" s="5">
        <f t="shared" si="2"/>
        <v>7.06</v>
      </c>
      <c r="M13" s="141">
        <f t="shared" si="3"/>
        <v>7</v>
      </c>
      <c r="N13" s="141">
        <f t="shared" si="4"/>
        <v>5.9999999999999609E-2</v>
      </c>
      <c r="O13" s="141">
        <f t="shared" si="5"/>
        <v>3.5999999999999761E-2</v>
      </c>
      <c r="P13" s="162">
        <f>IF(J13="","",O13+M13)</f>
        <v>7.0359999999999996</v>
      </c>
      <c r="Q13" s="591"/>
      <c r="R13" s="592"/>
      <c r="S13" s="592"/>
      <c r="T13" s="593"/>
      <c r="U13" s="417"/>
      <c r="V13" s="240">
        <f>FLOOR(U13,1)</f>
        <v>0</v>
      </c>
      <c r="W13" s="240">
        <f>+U13-V13</f>
        <v>0</v>
      </c>
      <c r="X13" s="240">
        <f>+W13/60*100</f>
        <v>0</v>
      </c>
      <c r="Y13" s="243">
        <f>+X13+V13</f>
        <v>0</v>
      </c>
      <c r="Z13" s="417"/>
      <c r="AA13" s="417"/>
      <c r="AB13" s="417"/>
      <c r="AC13" s="417"/>
      <c r="AD13" s="417"/>
      <c r="AE13" s="240">
        <f t="shared" si="6"/>
        <v>0</v>
      </c>
      <c r="AF13" s="240">
        <f t="shared" si="15"/>
        <v>0</v>
      </c>
      <c r="AG13" s="240">
        <f t="shared" si="7"/>
        <v>0</v>
      </c>
      <c r="AH13" s="243">
        <f t="shared" si="16"/>
        <v>0</v>
      </c>
      <c r="AI13" s="417"/>
      <c r="AJ13" s="417"/>
      <c r="AK13" s="417"/>
      <c r="AL13" s="417"/>
      <c r="AM13" s="472"/>
      <c r="AN13" s="240">
        <f t="shared" si="8"/>
        <v>0</v>
      </c>
      <c r="AO13" s="240">
        <f t="shared" si="9"/>
        <v>0</v>
      </c>
      <c r="AP13" s="240">
        <f t="shared" si="10"/>
        <v>0</v>
      </c>
      <c r="AQ13" s="242">
        <f t="shared" si="17"/>
        <v>0</v>
      </c>
      <c r="AR13" s="420"/>
      <c r="AS13" s="420"/>
      <c r="AT13" s="420"/>
      <c r="AU13" s="420"/>
      <c r="AZ13" s="189"/>
      <c r="BA13" s="189"/>
      <c r="BB13" s="189"/>
      <c r="BC13" s="189"/>
      <c r="BD13" s="189"/>
      <c r="BE13" s="189"/>
      <c r="BG13" s="145">
        <f>IF($K13&gt;=0,+SUM(L$9:$L13)-$B13+Feb!$AZ$39+SUM(AQ$9:$AQ13)," ")</f>
        <v>0</v>
      </c>
      <c r="BH13" s="144">
        <f t="shared" ref="BH13:BH37" si="21">IF(BG13&lt;0,-1,1)</f>
        <v>1</v>
      </c>
      <c r="BI13" s="146">
        <f t="shared" ref="BI13:BI35" si="22">FLOOR(BG13,BH13)</f>
        <v>0</v>
      </c>
      <c r="BJ13" s="146">
        <f t="shared" ref="BJ13:BJ35" si="23">+BG13-BI13</f>
        <v>0</v>
      </c>
      <c r="BK13" s="146">
        <f t="shared" ref="BK13:BK37" si="24">+BJ13/100*60</f>
        <v>0</v>
      </c>
      <c r="BL13" s="164">
        <f t="shared" si="20"/>
        <v>0</v>
      </c>
      <c r="BM13" s="157">
        <f t="shared" si="11"/>
        <v>7.0359999999999996</v>
      </c>
      <c r="BN13">
        <f t="shared" si="12"/>
        <v>2</v>
      </c>
    </row>
    <row r="14" spans="1:66" ht="15.95" customHeight="1" x14ac:dyDescent="0.25">
      <c r="A14" s="83"/>
      <c r="B14" s="84">
        <f>IF($I14&lt;&gt;"",IF(WEEKDAY($I14,2)&lt;6,IF(VLOOKUP(WEEKDAY($I14,2),InputUge,3)&gt;0,IF($A14="",VLOOKUP(WEEKDAY($I14,2),InputUge,3)+MAX(B$8:B13),IF($A14&lt;VLOOKUP(WEEKDAY($I14,2),InputUge,3),$A14+MAX(B$8:B13),VLOOKUP(WEEKDAY($I14,2),InputUge,3)+MAX(B$8:B13))),""),""),"")</f>
        <v>27.596666666666668</v>
      </c>
      <c r="C14" s="144">
        <f t="shared" si="0"/>
        <v>1</v>
      </c>
      <c r="D14" s="146">
        <f>FLOOR(B14,C14)</f>
        <v>27</v>
      </c>
      <c r="E14" s="146">
        <f>+B14-D14</f>
        <v>0.59666666666666757</v>
      </c>
      <c r="F14" s="146">
        <f t="shared" si="1"/>
        <v>0.35800000000000054</v>
      </c>
      <c r="G14" s="261">
        <f t="shared" si="19"/>
        <v>27.358000000000001</v>
      </c>
      <c r="H14" s="4">
        <v>6</v>
      </c>
      <c r="I14" s="16">
        <f t="shared" si="18"/>
        <v>41311</v>
      </c>
      <c r="J14" s="6">
        <v>0.34791666666666665</v>
      </c>
      <c r="K14" s="6">
        <v>0.64236111111111105</v>
      </c>
      <c r="L14" s="5">
        <f t="shared" si="2"/>
        <v>7.07</v>
      </c>
      <c r="M14" s="141">
        <f t="shared" si="3"/>
        <v>7</v>
      </c>
      <c r="N14" s="141">
        <f t="shared" si="4"/>
        <v>7.0000000000000284E-2</v>
      </c>
      <c r="O14" s="141">
        <f t="shared" si="5"/>
        <v>4.2000000000000169E-2</v>
      </c>
      <c r="P14" s="162">
        <f t="shared" ref="P14:P19" si="25">IF(J14="","",O14+M14)</f>
        <v>7.0419999999999998</v>
      </c>
      <c r="Q14" s="591"/>
      <c r="R14" s="592"/>
      <c r="S14" s="592"/>
      <c r="T14" s="593"/>
      <c r="U14" s="417"/>
      <c r="V14" s="240">
        <f t="shared" ref="V14:V37" si="26">FLOOR(U14,1)</f>
        <v>0</v>
      </c>
      <c r="W14" s="240">
        <f t="shared" ref="W14:W37" si="27">+U14-V14</f>
        <v>0</v>
      </c>
      <c r="X14" s="240">
        <f t="shared" ref="X14:X37" si="28">+W14/60*100</f>
        <v>0</v>
      </c>
      <c r="Y14" s="243">
        <f t="shared" ref="Y14:Y37" si="29">+X14+V14</f>
        <v>0</v>
      </c>
      <c r="Z14" s="417"/>
      <c r="AA14" s="417"/>
      <c r="AB14" s="417"/>
      <c r="AC14" s="417"/>
      <c r="AD14" s="417"/>
      <c r="AE14" s="240">
        <f t="shared" si="6"/>
        <v>0</v>
      </c>
      <c r="AF14" s="240">
        <f t="shared" si="15"/>
        <v>0</v>
      </c>
      <c r="AG14" s="240">
        <f t="shared" si="7"/>
        <v>0</v>
      </c>
      <c r="AH14" s="243">
        <f t="shared" si="16"/>
        <v>0</v>
      </c>
      <c r="AI14" s="417"/>
      <c r="AJ14" s="417"/>
      <c r="AK14" s="417"/>
      <c r="AL14" s="417"/>
      <c r="AM14" s="472"/>
      <c r="AN14" s="240">
        <f t="shared" si="8"/>
        <v>0</v>
      </c>
      <c r="AO14" s="240">
        <f t="shared" si="9"/>
        <v>0</v>
      </c>
      <c r="AP14" s="240">
        <f t="shared" si="10"/>
        <v>0</v>
      </c>
      <c r="AQ14" s="242">
        <f t="shared" si="17"/>
        <v>0</v>
      </c>
      <c r="AR14" s="420"/>
      <c r="AS14" s="420"/>
      <c r="AT14" s="420"/>
      <c r="AU14" s="420"/>
      <c r="AZ14" s="189"/>
      <c r="BA14" s="189"/>
      <c r="BB14" s="189"/>
      <c r="BC14" s="189"/>
      <c r="BD14" s="189"/>
      <c r="BE14" s="189"/>
      <c r="BG14" s="145">
        <f>IF($K14&gt;=0,+SUM(L$9:$L14)-$B14+Feb!$AZ$39+SUM(AQ$9:$AQ14)," ")</f>
        <v>3.3333333333338544E-3</v>
      </c>
      <c r="BH14" s="144">
        <f t="shared" si="21"/>
        <v>1</v>
      </c>
      <c r="BI14" s="146">
        <f t="shared" si="22"/>
        <v>0</v>
      </c>
      <c r="BJ14" s="146">
        <f t="shared" si="23"/>
        <v>3.3333333333338544E-3</v>
      </c>
      <c r="BK14" s="146">
        <f t="shared" si="24"/>
        <v>2.0000000000003127E-3</v>
      </c>
      <c r="BL14" s="164">
        <f>IF(BN14=2,+BK14+BI14,"")</f>
        <v>2.0000000000003127E-3</v>
      </c>
      <c r="BM14" s="157">
        <f t="shared" si="11"/>
        <v>7.0419999999999998</v>
      </c>
      <c r="BN14">
        <f t="shared" si="12"/>
        <v>2</v>
      </c>
    </row>
    <row r="15" spans="1:66" ht="15.95" customHeight="1" x14ac:dyDescent="0.25">
      <c r="A15" s="83"/>
      <c r="B15" s="84">
        <f>IF($I15&lt;&gt;"",IF(WEEKDAY($I15,2)&lt;6,IF(VLOOKUP(WEEKDAY($I15,2),InputUge,3)&gt;0,IF($A15="",VLOOKUP(WEEKDAY($I15,2),InputUge,3)+MAX(B$8:B14),IF($A15&lt;VLOOKUP(WEEKDAY($I15,2),InputUge,3),$A15+MAX(B$8:B14),VLOOKUP(WEEKDAY($I15,2),InputUge,3)+MAX(B$8:B14))),""),""),"")</f>
        <v>37.006666666666668</v>
      </c>
      <c r="C15" s="144">
        <f t="shared" si="0"/>
        <v>1</v>
      </c>
      <c r="D15" s="146">
        <f>FLOOR(B15,C15)</f>
        <v>37</v>
      </c>
      <c r="E15" s="146">
        <f>+B15-D15</f>
        <v>6.6666666666677088E-3</v>
      </c>
      <c r="F15" s="146">
        <f t="shared" si="1"/>
        <v>4.0000000000006255E-3</v>
      </c>
      <c r="G15" s="261">
        <f t="shared" si="19"/>
        <v>37.003999999999998</v>
      </c>
      <c r="H15" s="4">
        <v>7</v>
      </c>
      <c r="I15" s="16">
        <f t="shared" si="18"/>
        <v>41312</v>
      </c>
      <c r="J15" s="6">
        <v>0.34791666666666665</v>
      </c>
      <c r="K15" s="6">
        <v>0.73958333333333337</v>
      </c>
      <c r="L15" s="5">
        <f t="shared" si="2"/>
        <v>9.4</v>
      </c>
      <c r="M15" s="141">
        <f t="shared" si="3"/>
        <v>9</v>
      </c>
      <c r="N15" s="141">
        <f t="shared" si="4"/>
        <v>0.40000000000000036</v>
      </c>
      <c r="O15" s="141">
        <f t="shared" si="5"/>
        <v>0.24000000000000021</v>
      </c>
      <c r="P15" s="241">
        <f t="shared" si="25"/>
        <v>9.24</v>
      </c>
      <c r="Q15" s="591"/>
      <c r="R15" s="592"/>
      <c r="S15" s="592"/>
      <c r="T15" s="593"/>
      <c r="U15" s="417"/>
      <c r="V15" s="240">
        <f t="shared" si="26"/>
        <v>0</v>
      </c>
      <c r="W15" s="240">
        <f t="shared" si="27"/>
        <v>0</v>
      </c>
      <c r="X15" s="240">
        <f t="shared" si="28"/>
        <v>0</v>
      </c>
      <c r="Y15" s="243">
        <f t="shared" si="29"/>
        <v>0</v>
      </c>
      <c r="Z15" s="417"/>
      <c r="AA15" s="417"/>
      <c r="AB15" s="417"/>
      <c r="AC15" s="417"/>
      <c r="AD15" s="417"/>
      <c r="AE15" s="240">
        <f t="shared" si="6"/>
        <v>0</v>
      </c>
      <c r="AF15" s="240">
        <f t="shared" si="15"/>
        <v>0</v>
      </c>
      <c r="AG15" s="240">
        <f t="shared" si="7"/>
        <v>0</v>
      </c>
      <c r="AH15" s="243">
        <f t="shared" si="16"/>
        <v>0</v>
      </c>
      <c r="AI15" s="417"/>
      <c r="AJ15" s="417"/>
      <c r="AK15" s="417"/>
      <c r="AL15" s="417"/>
      <c r="AM15" s="472"/>
      <c r="AN15" s="240">
        <f t="shared" si="8"/>
        <v>0</v>
      </c>
      <c r="AO15" s="240">
        <f t="shared" si="9"/>
        <v>0</v>
      </c>
      <c r="AP15" s="240">
        <f t="shared" si="10"/>
        <v>0</v>
      </c>
      <c r="AQ15" s="242">
        <f t="shared" si="17"/>
        <v>0</v>
      </c>
      <c r="AR15" s="420"/>
      <c r="AS15" s="420"/>
      <c r="AT15" s="420"/>
      <c r="AU15" s="420"/>
      <c r="AZ15" s="189"/>
      <c r="BA15" s="189"/>
      <c r="BB15" s="189"/>
      <c r="BC15" s="189"/>
      <c r="BD15" s="189"/>
      <c r="BE15" s="189"/>
      <c r="BG15" s="145">
        <f>IF($K15&gt;=0,+SUM(L$9:$L15)-$B15+Feb!$AZ$39+SUM(AQ$9:$AQ15)," ")+0.01</f>
        <v>3.3333333333322914E-3</v>
      </c>
      <c r="BH15" s="144">
        <f t="shared" si="21"/>
        <v>1</v>
      </c>
      <c r="BI15" s="146">
        <f t="shared" si="22"/>
        <v>0</v>
      </c>
      <c r="BJ15" s="146">
        <f t="shared" si="23"/>
        <v>3.3333333333322914E-3</v>
      </c>
      <c r="BK15" s="146">
        <f t="shared" si="24"/>
        <v>1.9999999999993747E-3</v>
      </c>
      <c r="BL15" s="164">
        <f t="shared" si="20"/>
        <v>1.9999999999993747E-3</v>
      </c>
      <c r="BM15" s="157">
        <f t="shared" ref="BM15:BM37" si="30">+P15</f>
        <v>9.24</v>
      </c>
      <c r="BN15">
        <f t="shared" ref="BN15:BN37" si="31">+IF(BM15="",1,2)</f>
        <v>2</v>
      </c>
    </row>
    <row r="16" spans="1:66" ht="15.95" customHeight="1" x14ac:dyDescent="0.25">
      <c r="A16" s="83"/>
      <c r="B16" s="84">
        <f>IF($I16&lt;&gt;"",IF(WEEKDAY($I16,2)&lt;6,IF(VLOOKUP(WEEKDAY($I16,2),InputUge,3)&gt;0,IF($A16="",VLOOKUP(WEEKDAY($I16,2),InputUge,3)+MAX(B$8:B15),IF($A16&lt;VLOOKUP(WEEKDAY($I16,2),InputUge,3),$A16+MAX(B$8:B15),VLOOKUP(WEEKDAY($I16,2),InputUge,3)+MAX(B$8:B15))),""),""),"")</f>
        <v>43.406666666666666</v>
      </c>
      <c r="C16" s="144">
        <f t="shared" si="0"/>
        <v>1</v>
      </c>
      <c r="D16" s="146">
        <f>FLOOR(B16,C16)</f>
        <v>43</v>
      </c>
      <c r="E16" s="146">
        <f>+B16-D16</f>
        <v>0.40666666666666629</v>
      </c>
      <c r="F16" s="146">
        <f t="shared" si="1"/>
        <v>0.24399999999999977</v>
      </c>
      <c r="G16" s="261">
        <f t="shared" si="19"/>
        <v>43.244</v>
      </c>
      <c r="H16" s="4">
        <v>8</v>
      </c>
      <c r="I16" s="16">
        <f t="shared" si="18"/>
        <v>41313</v>
      </c>
      <c r="J16" s="6">
        <v>0.34791666666666665</v>
      </c>
      <c r="K16" s="6">
        <v>0.61458333333333337</v>
      </c>
      <c r="L16" s="5">
        <f t="shared" si="2"/>
        <v>6.4</v>
      </c>
      <c r="M16" s="141">
        <f t="shared" si="3"/>
        <v>6</v>
      </c>
      <c r="N16" s="141">
        <f t="shared" si="4"/>
        <v>0.40000000000000036</v>
      </c>
      <c r="O16" s="141">
        <f t="shared" si="5"/>
        <v>0.24000000000000021</v>
      </c>
      <c r="P16" s="162">
        <f t="shared" si="25"/>
        <v>6.24</v>
      </c>
      <c r="Q16" s="591"/>
      <c r="R16" s="592"/>
      <c r="S16" s="592"/>
      <c r="T16" s="593"/>
      <c r="U16" s="417"/>
      <c r="V16" s="240">
        <f t="shared" si="26"/>
        <v>0</v>
      </c>
      <c r="W16" s="240">
        <f t="shared" si="27"/>
        <v>0</v>
      </c>
      <c r="X16" s="240">
        <f t="shared" si="28"/>
        <v>0</v>
      </c>
      <c r="Y16" s="243">
        <f t="shared" si="29"/>
        <v>0</v>
      </c>
      <c r="Z16" s="417"/>
      <c r="AA16" s="417"/>
      <c r="AB16" s="417"/>
      <c r="AC16" s="417"/>
      <c r="AD16" s="417"/>
      <c r="AE16" s="240">
        <f t="shared" si="6"/>
        <v>0</v>
      </c>
      <c r="AF16" s="240">
        <f t="shared" si="15"/>
        <v>0</v>
      </c>
      <c r="AG16" s="240">
        <f t="shared" si="7"/>
        <v>0</v>
      </c>
      <c r="AH16" s="243">
        <f t="shared" si="16"/>
        <v>0</v>
      </c>
      <c r="AI16" s="417"/>
      <c r="AJ16" s="417"/>
      <c r="AK16" s="417"/>
      <c r="AL16" s="417"/>
      <c r="AM16" s="472"/>
      <c r="AN16" s="240">
        <f t="shared" si="8"/>
        <v>0</v>
      </c>
      <c r="AO16" s="240">
        <f t="shared" si="9"/>
        <v>0</v>
      </c>
      <c r="AP16" s="240">
        <f t="shared" si="10"/>
        <v>0</v>
      </c>
      <c r="AQ16" s="242">
        <f t="shared" si="17"/>
        <v>0</v>
      </c>
      <c r="AR16" s="420"/>
      <c r="AS16" s="420"/>
      <c r="AT16" s="420"/>
      <c r="AU16" s="420"/>
      <c r="AZ16" s="189"/>
      <c r="BA16" s="189"/>
      <c r="BB16" s="189"/>
      <c r="BC16" s="189"/>
      <c r="BD16" s="189"/>
      <c r="BE16" s="189"/>
      <c r="BG16" s="145">
        <f>IF($K16&gt;=0,+SUM(L$9:$L16)-$B16+Feb!$AZ$39+SUM(AQ$9:$AQ16)," ")+0.01</f>
        <v>3.3333333333322914E-3</v>
      </c>
      <c r="BH16" s="144">
        <f t="shared" si="21"/>
        <v>1</v>
      </c>
      <c r="BI16" s="146">
        <f t="shared" si="22"/>
        <v>0</v>
      </c>
      <c r="BJ16" s="146">
        <f t="shared" si="23"/>
        <v>3.3333333333322914E-3</v>
      </c>
      <c r="BK16" s="146">
        <f t="shared" si="24"/>
        <v>1.9999999999993747E-3</v>
      </c>
      <c r="BL16" s="164">
        <f t="shared" si="20"/>
        <v>1.9999999999993747E-3</v>
      </c>
      <c r="BM16" s="157">
        <f t="shared" si="30"/>
        <v>6.24</v>
      </c>
      <c r="BN16">
        <f t="shared" si="31"/>
        <v>2</v>
      </c>
    </row>
    <row r="17" spans="1:66" ht="15.95" customHeight="1" x14ac:dyDescent="0.25">
      <c r="A17" s="83"/>
      <c r="B17" s="84" t="str">
        <f>IF($I17&lt;&gt;"",IF(WEEKDAY($I17,2)&lt;6,IF(VLOOKUP(WEEKDAY($I17,2),InputUge,3)&gt;0,IF($A17="",VLOOKUP(WEEKDAY($I17,2),InputUge,3)+MAX(B$8:B16),IF($A17&lt;VLOOKUP(WEEKDAY($I17,2),InputUge,3),$A17+MAX(B$8:B16),VLOOKUP(WEEKDAY($I17,2),InputUge,3)+MAX(B$8:B16))),""),""),"")</f>
        <v/>
      </c>
      <c r="C17" s="144">
        <f t="shared" si="0"/>
        <v>1</v>
      </c>
      <c r="D17" s="146" t="e">
        <f t="shared" si="13"/>
        <v>#VALUE!</v>
      </c>
      <c r="E17" s="146" t="e">
        <f t="shared" si="14"/>
        <v>#VALUE!</v>
      </c>
      <c r="F17" s="146" t="e">
        <f t="shared" si="1"/>
        <v>#VALUE!</v>
      </c>
      <c r="G17" s="261"/>
      <c r="H17" s="4">
        <v>9</v>
      </c>
      <c r="I17" s="16">
        <f t="shared" si="18"/>
        <v>41314</v>
      </c>
      <c r="J17" s="6"/>
      <c r="K17" s="6"/>
      <c r="L17" s="5" t="str">
        <f t="shared" si="2"/>
        <v/>
      </c>
      <c r="M17" s="141" t="e">
        <f t="shared" si="3"/>
        <v>#VALUE!</v>
      </c>
      <c r="N17" s="141" t="e">
        <f t="shared" si="4"/>
        <v>#VALUE!</v>
      </c>
      <c r="O17" s="141" t="e">
        <f t="shared" si="5"/>
        <v>#VALUE!</v>
      </c>
      <c r="P17" s="162" t="str">
        <f t="shared" si="25"/>
        <v/>
      </c>
      <c r="Q17" s="627"/>
      <c r="R17" s="592"/>
      <c r="S17" s="592"/>
      <c r="T17" s="593"/>
      <c r="U17" s="417"/>
      <c r="V17" s="240">
        <f t="shared" si="26"/>
        <v>0</v>
      </c>
      <c r="W17" s="240">
        <f t="shared" si="27"/>
        <v>0</v>
      </c>
      <c r="X17" s="240">
        <f t="shared" si="28"/>
        <v>0</v>
      </c>
      <c r="Y17" s="243">
        <f t="shared" si="29"/>
        <v>0</v>
      </c>
      <c r="Z17" s="417"/>
      <c r="AA17" s="417"/>
      <c r="AB17" s="417"/>
      <c r="AC17" s="417"/>
      <c r="AD17" s="417"/>
      <c r="AE17" s="240">
        <f t="shared" si="6"/>
        <v>0</v>
      </c>
      <c r="AF17" s="240">
        <f t="shared" si="15"/>
        <v>0</v>
      </c>
      <c r="AG17" s="240">
        <f t="shared" si="7"/>
        <v>0</v>
      </c>
      <c r="AH17" s="243">
        <f t="shared" si="16"/>
        <v>0</v>
      </c>
      <c r="AI17" s="417"/>
      <c r="AJ17" s="417"/>
      <c r="AK17" s="417"/>
      <c r="AL17" s="417"/>
      <c r="AM17" s="472"/>
      <c r="AN17" s="240">
        <f t="shared" si="8"/>
        <v>0</v>
      </c>
      <c r="AO17" s="240">
        <f t="shared" si="9"/>
        <v>0</v>
      </c>
      <c r="AP17" s="240">
        <f t="shared" si="10"/>
        <v>0</v>
      </c>
      <c r="AQ17" s="242">
        <f t="shared" si="17"/>
        <v>0</v>
      </c>
      <c r="AR17" s="420"/>
      <c r="AS17" s="420"/>
      <c r="AT17" s="420"/>
      <c r="AU17" s="420"/>
      <c r="AZ17" s="189"/>
      <c r="BA17" s="189"/>
      <c r="BB17" s="189"/>
      <c r="BC17" s="189"/>
      <c r="BD17" s="189"/>
      <c r="BE17" s="189"/>
      <c r="BG17" s="145" t="e">
        <f>IF($K17&gt;=0,+SUM(L$9:$L17)-$B17+Feb!$AZ$39+SUM(AQ$9:$AQ17)," ")</f>
        <v>#VALUE!</v>
      </c>
      <c r="BH17" s="144" t="e">
        <f t="shared" si="21"/>
        <v>#VALUE!</v>
      </c>
      <c r="BI17" s="146" t="e">
        <f t="shared" si="22"/>
        <v>#VALUE!</v>
      </c>
      <c r="BJ17" s="146" t="e">
        <f t="shared" si="23"/>
        <v>#VALUE!</v>
      </c>
      <c r="BK17" s="146" t="e">
        <f t="shared" si="24"/>
        <v>#VALUE!</v>
      </c>
      <c r="BL17" s="164" t="str">
        <f t="shared" si="20"/>
        <v/>
      </c>
      <c r="BM17" s="157" t="str">
        <f t="shared" si="30"/>
        <v/>
      </c>
      <c r="BN17">
        <f t="shared" si="31"/>
        <v>1</v>
      </c>
    </row>
    <row r="18" spans="1:66" ht="15.95" customHeight="1" x14ac:dyDescent="0.25">
      <c r="A18" s="83"/>
      <c r="B18" s="84" t="str">
        <f>IF($I18&lt;&gt;"",IF(WEEKDAY($I18,2)&lt;6,IF(VLOOKUP(WEEKDAY($I18,2),InputUge,3)&gt;0,IF($A18="",VLOOKUP(WEEKDAY($I18,2),InputUge,3)+MAX(B$8:B17),IF($A18&lt;VLOOKUP(WEEKDAY($I18,2),InputUge,3),$A18+MAX(B$8:B17),VLOOKUP(WEEKDAY($I18,2),InputUge,3)+MAX(B$8:B17))),""),""),"")</f>
        <v/>
      </c>
      <c r="C18" s="144">
        <f t="shared" si="0"/>
        <v>1</v>
      </c>
      <c r="D18" s="146" t="e">
        <f t="shared" si="13"/>
        <v>#VALUE!</v>
      </c>
      <c r="E18" s="146" t="e">
        <f t="shared" si="14"/>
        <v>#VALUE!</v>
      </c>
      <c r="F18" s="146" t="e">
        <f t="shared" si="1"/>
        <v>#VALUE!</v>
      </c>
      <c r="G18" s="261"/>
      <c r="H18" s="4">
        <v>10</v>
      </c>
      <c r="I18" s="16">
        <f t="shared" si="18"/>
        <v>41315</v>
      </c>
      <c r="J18" s="6"/>
      <c r="K18" s="6"/>
      <c r="L18" s="5" t="str">
        <f t="shared" si="2"/>
        <v/>
      </c>
      <c r="M18" s="141" t="e">
        <f t="shared" si="3"/>
        <v>#VALUE!</v>
      </c>
      <c r="N18" s="141" t="e">
        <f t="shared" si="4"/>
        <v>#VALUE!</v>
      </c>
      <c r="O18" s="141" t="e">
        <f t="shared" si="5"/>
        <v>#VALUE!</v>
      </c>
      <c r="P18" s="162" t="str">
        <f t="shared" si="25"/>
        <v/>
      </c>
      <c r="Q18" s="591"/>
      <c r="R18" s="592"/>
      <c r="S18" s="592"/>
      <c r="T18" s="593"/>
      <c r="U18" s="417"/>
      <c r="V18" s="240">
        <f t="shared" si="26"/>
        <v>0</v>
      </c>
      <c r="W18" s="240">
        <f t="shared" si="27"/>
        <v>0</v>
      </c>
      <c r="X18" s="240">
        <f t="shared" si="28"/>
        <v>0</v>
      </c>
      <c r="Y18" s="243">
        <f t="shared" si="29"/>
        <v>0</v>
      </c>
      <c r="Z18" s="417"/>
      <c r="AA18" s="417"/>
      <c r="AB18" s="417"/>
      <c r="AC18" s="417"/>
      <c r="AD18" s="417"/>
      <c r="AE18" s="240">
        <f t="shared" si="6"/>
        <v>0</v>
      </c>
      <c r="AF18" s="240">
        <f t="shared" si="15"/>
        <v>0</v>
      </c>
      <c r="AG18" s="240">
        <f t="shared" si="7"/>
        <v>0</v>
      </c>
      <c r="AH18" s="243">
        <f t="shared" si="16"/>
        <v>0</v>
      </c>
      <c r="AI18" s="417"/>
      <c r="AJ18" s="417"/>
      <c r="AK18" s="417"/>
      <c r="AL18" s="417"/>
      <c r="AM18" s="472"/>
      <c r="AN18" s="240">
        <f t="shared" si="8"/>
        <v>0</v>
      </c>
      <c r="AO18" s="240">
        <f t="shared" si="9"/>
        <v>0</v>
      </c>
      <c r="AP18" s="240">
        <f t="shared" si="10"/>
        <v>0</v>
      </c>
      <c r="AQ18" s="242">
        <f t="shared" si="17"/>
        <v>0</v>
      </c>
      <c r="AR18" s="420"/>
      <c r="AS18" s="420"/>
      <c r="AT18" s="420"/>
      <c r="AU18" s="420"/>
      <c r="AZ18" s="189"/>
      <c r="BA18" s="189"/>
      <c r="BB18" s="189"/>
      <c r="BC18" s="189"/>
      <c r="BD18" s="189"/>
      <c r="BE18" s="189"/>
      <c r="BG18" s="145" t="e">
        <f>IF($K18&gt;=0,+SUM(L$9:$L18)-$B18+Feb!$AZ$39+SUM(AQ$9:$AQ18)," ")</f>
        <v>#VALUE!</v>
      </c>
      <c r="BH18" s="144" t="e">
        <f t="shared" si="21"/>
        <v>#VALUE!</v>
      </c>
      <c r="BI18" s="146" t="e">
        <f t="shared" si="22"/>
        <v>#VALUE!</v>
      </c>
      <c r="BJ18" s="146" t="e">
        <f t="shared" si="23"/>
        <v>#VALUE!</v>
      </c>
      <c r="BK18" s="146" t="e">
        <f t="shared" si="24"/>
        <v>#VALUE!</v>
      </c>
      <c r="BL18" s="164" t="str">
        <f t="shared" si="20"/>
        <v/>
      </c>
      <c r="BM18" s="157" t="str">
        <f t="shared" si="30"/>
        <v/>
      </c>
      <c r="BN18">
        <f t="shared" si="31"/>
        <v>1</v>
      </c>
    </row>
    <row r="19" spans="1:66" ht="15.95" customHeight="1" x14ac:dyDescent="0.25">
      <c r="A19" s="83"/>
      <c r="B19" s="84">
        <f>IF($I19&lt;&gt;"",IF(WEEKDAY($I19,2)&lt;6,IF(VLOOKUP(WEEKDAY($I19,2),InputUge,3)&gt;0,IF($A19="",VLOOKUP(WEEKDAY($I19,2),InputUge,3)+MAX(B$8:B18),IF($A19&lt;VLOOKUP(WEEKDAY($I19,2),InputUge,3),$A19+MAX(B$8:B18),VLOOKUP(WEEKDAY($I19,2),InputUge,3)+MAX(B$8:B18))),""),""),"")</f>
        <v>50.47</v>
      </c>
      <c r="C19" s="144">
        <f t="shared" si="0"/>
        <v>1</v>
      </c>
      <c r="D19" s="146">
        <f t="shared" si="13"/>
        <v>50</v>
      </c>
      <c r="E19" s="146">
        <f t="shared" si="14"/>
        <v>0.46999999999999886</v>
      </c>
      <c r="F19" s="146">
        <f t="shared" si="1"/>
        <v>0.28199999999999936</v>
      </c>
      <c r="G19" s="261">
        <f t="shared" si="19"/>
        <v>50.281999999999996</v>
      </c>
      <c r="H19" s="4">
        <v>11</v>
      </c>
      <c r="I19" s="16">
        <f t="shared" si="18"/>
        <v>41316</v>
      </c>
      <c r="J19" s="6">
        <v>0.34791666666666665</v>
      </c>
      <c r="K19" s="6">
        <v>0.64236111111111105</v>
      </c>
      <c r="L19" s="5">
        <f t="shared" si="2"/>
        <v>7.07</v>
      </c>
      <c r="M19" s="141">
        <f t="shared" si="3"/>
        <v>7</v>
      </c>
      <c r="N19" s="141">
        <f t="shared" si="4"/>
        <v>7.0000000000000284E-2</v>
      </c>
      <c r="O19" s="141">
        <f t="shared" si="5"/>
        <v>4.2000000000000169E-2</v>
      </c>
      <c r="P19" s="162">
        <f t="shared" si="25"/>
        <v>7.0419999999999998</v>
      </c>
      <c r="Q19" s="591"/>
      <c r="R19" s="592"/>
      <c r="S19" s="592"/>
      <c r="T19" s="593"/>
      <c r="U19" s="417"/>
      <c r="V19" s="240">
        <f t="shared" si="26"/>
        <v>0</v>
      </c>
      <c r="W19" s="240">
        <f t="shared" si="27"/>
        <v>0</v>
      </c>
      <c r="X19" s="240">
        <f t="shared" si="28"/>
        <v>0</v>
      </c>
      <c r="Y19" s="243">
        <f t="shared" si="29"/>
        <v>0</v>
      </c>
      <c r="Z19" s="417"/>
      <c r="AA19" s="417"/>
      <c r="AB19" s="417"/>
      <c r="AC19" s="417"/>
      <c r="AD19" s="417"/>
      <c r="AE19" s="240">
        <f t="shared" si="6"/>
        <v>0</v>
      </c>
      <c r="AF19" s="240">
        <f t="shared" si="15"/>
        <v>0</v>
      </c>
      <c r="AG19" s="240">
        <f t="shared" si="7"/>
        <v>0</v>
      </c>
      <c r="AH19" s="243">
        <f t="shared" si="16"/>
        <v>0</v>
      </c>
      <c r="AI19" s="417"/>
      <c r="AJ19" s="417"/>
      <c r="AK19" s="417"/>
      <c r="AL19" s="417"/>
      <c r="AM19" s="472"/>
      <c r="AN19" s="240">
        <f t="shared" si="8"/>
        <v>0</v>
      </c>
      <c r="AO19" s="240">
        <f t="shared" si="9"/>
        <v>0</v>
      </c>
      <c r="AP19" s="240">
        <f t="shared" si="10"/>
        <v>0</v>
      </c>
      <c r="AQ19" s="242">
        <f t="shared" si="17"/>
        <v>0</v>
      </c>
      <c r="AR19" s="420"/>
      <c r="AS19" s="420"/>
      <c r="AT19" s="420"/>
      <c r="AU19" s="420"/>
      <c r="AZ19" s="189"/>
      <c r="BA19" s="189"/>
      <c r="BB19" s="189"/>
      <c r="BC19" s="189"/>
      <c r="BD19" s="189"/>
      <c r="BE19" s="189"/>
      <c r="BG19" s="145">
        <f>IF($K19&gt;=0,+SUM(L$9:$L19)-$B19+Feb!$AZ$39+SUM(AQ$9:$AQ19)," ")</f>
        <v>0</v>
      </c>
      <c r="BH19" s="144">
        <f t="shared" si="21"/>
        <v>1</v>
      </c>
      <c r="BI19" s="146">
        <f t="shared" si="22"/>
        <v>0</v>
      </c>
      <c r="BJ19" s="146">
        <f t="shared" si="23"/>
        <v>0</v>
      </c>
      <c r="BK19" s="146">
        <f t="shared" si="24"/>
        <v>0</v>
      </c>
      <c r="BL19" s="164">
        <f t="shared" si="20"/>
        <v>0</v>
      </c>
      <c r="BM19" s="157">
        <f t="shared" si="30"/>
        <v>7.0419999999999998</v>
      </c>
      <c r="BN19">
        <f t="shared" si="31"/>
        <v>2</v>
      </c>
    </row>
    <row r="20" spans="1:66" ht="15.95" customHeight="1" x14ac:dyDescent="0.25">
      <c r="A20" s="83"/>
      <c r="B20" s="84">
        <f>IF($I20&lt;&gt;"",IF(WEEKDAY($I20,2)&lt;6,IF(VLOOKUP(WEEKDAY($I20,2),InputUge,3)&gt;0,IF($A20="",VLOOKUP(WEEKDAY($I20,2),InputUge,3)+MAX(B$8:B19),IF($A20&lt;VLOOKUP(WEEKDAY($I20,2),InputUge,3),$A20+MAX(B$8:B19),VLOOKUP(WEEKDAY($I20,2),InputUge,3)+MAX(B$8:B19))),""),""),"")</f>
        <v>57.536666666666662</v>
      </c>
      <c r="C20" s="144">
        <f t="shared" si="0"/>
        <v>1</v>
      </c>
      <c r="D20" s="146">
        <f t="shared" si="13"/>
        <v>57</v>
      </c>
      <c r="E20" s="146">
        <f t="shared" si="14"/>
        <v>0.53666666666666174</v>
      </c>
      <c r="F20" s="146">
        <f t="shared" si="1"/>
        <v>0.32199999999999707</v>
      </c>
      <c r="G20" s="261">
        <f t="shared" si="19"/>
        <v>57.321999999999996</v>
      </c>
      <c r="H20" s="4">
        <v>12</v>
      </c>
      <c r="I20" s="16">
        <f t="shared" si="18"/>
        <v>41317</v>
      </c>
      <c r="J20" s="6">
        <v>0.34791666666666665</v>
      </c>
      <c r="K20" s="6">
        <v>0.64236111111111105</v>
      </c>
      <c r="L20" s="5">
        <f t="shared" si="2"/>
        <v>7.07</v>
      </c>
      <c r="M20" s="141">
        <f t="shared" si="3"/>
        <v>7</v>
      </c>
      <c r="N20" s="141">
        <f t="shared" si="4"/>
        <v>7.0000000000000284E-2</v>
      </c>
      <c r="O20" s="141">
        <f t="shared" si="5"/>
        <v>4.2000000000000169E-2</v>
      </c>
      <c r="P20" s="162">
        <f>IF(J20="","",O20+M20)</f>
        <v>7.0419999999999998</v>
      </c>
      <c r="Q20" s="591"/>
      <c r="R20" s="592"/>
      <c r="S20" s="592"/>
      <c r="T20" s="593"/>
      <c r="U20" s="417"/>
      <c r="V20" s="240">
        <f t="shared" si="26"/>
        <v>0</v>
      </c>
      <c r="W20" s="240">
        <f t="shared" si="27"/>
        <v>0</v>
      </c>
      <c r="X20" s="240">
        <f t="shared" si="28"/>
        <v>0</v>
      </c>
      <c r="Y20" s="243">
        <f t="shared" si="29"/>
        <v>0</v>
      </c>
      <c r="Z20" s="417"/>
      <c r="AA20" s="417"/>
      <c r="AB20" s="417"/>
      <c r="AC20" s="417"/>
      <c r="AD20" s="417"/>
      <c r="AE20" s="240">
        <f t="shared" si="6"/>
        <v>0</v>
      </c>
      <c r="AF20" s="240">
        <f t="shared" si="15"/>
        <v>0</v>
      </c>
      <c r="AG20" s="240">
        <f t="shared" si="7"/>
        <v>0</v>
      </c>
      <c r="AH20" s="243">
        <f t="shared" si="16"/>
        <v>0</v>
      </c>
      <c r="AI20" s="417"/>
      <c r="AJ20" s="417"/>
      <c r="AK20" s="417"/>
      <c r="AL20" s="417"/>
      <c r="AM20" s="472"/>
      <c r="AN20" s="240">
        <f t="shared" si="8"/>
        <v>0</v>
      </c>
      <c r="AO20" s="240">
        <f t="shared" si="9"/>
        <v>0</v>
      </c>
      <c r="AP20" s="240">
        <f t="shared" si="10"/>
        <v>0</v>
      </c>
      <c r="AQ20" s="242">
        <f t="shared" si="17"/>
        <v>0</v>
      </c>
      <c r="AR20" s="420"/>
      <c r="AS20" s="420"/>
      <c r="AT20" s="420"/>
      <c r="AU20" s="420"/>
      <c r="AZ20" s="189"/>
      <c r="BA20" s="189"/>
      <c r="BB20" s="189"/>
      <c r="BC20" s="189"/>
      <c r="BD20" s="189"/>
      <c r="BE20" s="189"/>
      <c r="BG20" s="145">
        <f>IF($K20&gt;=0,+SUM(L$9:$L20)-$B20+Feb!$AZ$39+SUM(AQ$9:$AQ20)," ")</f>
        <v>3.3333333333374071E-3</v>
      </c>
      <c r="BH20" s="144">
        <f t="shared" si="21"/>
        <v>1</v>
      </c>
      <c r="BI20" s="146">
        <f t="shared" si="22"/>
        <v>0</v>
      </c>
      <c r="BJ20" s="146">
        <f t="shared" si="23"/>
        <v>3.3333333333374071E-3</v>
      </c>
      <c r="BK20" s="146">
        <f t="shared" si="24"/>
        <v>2.0000000000024443E-3</v>
      </c>
      <c r="BL20" s="164">
        <f t="shared" si="20"/>
        <v>2.0000000000024443E-3</v>
      </c>
      <c r="BM20" s="157">
        <f t="shared" si="30"/>
        <v>7.0419999999999998</v>
      </c>
      <c r="BN20">
        <f t="shared" si="31"/>
        <v>2</v>
      </c>
    </row>
    <row r="21" spans="1:66" ht="15.95" customHeight="1" x14ac:dyDescent="0.25">
      <c r="A21" s="83"/>
      <c r="B21" s="84">
        <f>IF($I21&lt;&gt;"",IF(WEEKDAY($I21,2)&lt;6,IF(VLOOKUP(WEEKDAY($I21,2),InputUge,3)&gt;0,IF($A21="",VLOOKUP(WEEKDAY($I21,2),InputUge,3)+MAX(B$8:B20),IF($A21&lt;VLOOKUP(WEEKDAY($I21,2),InputUge,3),$A21+MAX(B$8:B20),VLOOKUP(WEEKDAY($I21,2),InputUge,3)+MAX(B$8:B20))),""),""),"")</f>
        <v>64.603333333333325</v>
      </c>
      <c r="C21" s="144">
        <f t="shared" si="0"/>
        <v>1</v>
      </c>
      <c r="D21" s="146">
        <f>FLOOR(B21,C21)</f>
        <v>64</v>
      </c>
      <c r="E21" s="146">
        <f>+B21-D21</f>
        <v>0.60333333333332462</v>
      </c>
      <c r="F21" s="146">
        <f t="shared" si="1"/>
        <v>0.36199999999999477</v>
      </c>
      <c r="G21" s="261">
        <f t="shared" si="19"/>
        <v>64.361999999999995</v>
      </c>
      <c r="H21" s="4">
        <v>13</v>
      </c>
      <c r="I21" s="16">
        <f t="shared" si="18"/>
        <v>41318</v>
      </c>
      <c r="J21" s="6">
        <v>0.34791666666666665</v>
      </c>
      <c r="K21" s="6">
        <v>0.64236111111111105</v>
      </c>
      <c r="L21" s="5">
        <f t="shared" si="2"/>
        <v>7.07</v>
      </c>
      <c r="M21" s="141">
        <f t="shared" si="3"/>
        <v>7</v>
      </c>
      <c r="N21" s="141">
        <f t="shared" si="4"/>
        <v>7.0000000000000284E-2</v>
      </c>
      <c r="O21" s="141">
        <f t="shared" si="5"/>
        <v>4.2000000000000169E-2</v>
      </c>
      <c r="P21" s="162">
        <f>IF(J21="","",O21+M21)</f>
        <v>7.0419999999999998</v>
      </c>
      <c r="Q21" s="591"/>
      <c r="R21" s="592"/>
      <c r="S21" s="592"/>
      <c r="T21" s="593"/>
      <c r="U21" s="417"/>
      <c r="V21" s="240">
        <f t="shared" si="26"/>
        <v>0</v>
      </c>
      <c r="W21" s="240">
        <f t="shared" si="27"/>
        <v>0</v>
      </c>
      <c r="X21" s="240">
        <f t="shared" si="28"/>
        <v>0</v>
      </c>
      <c r="Y21" s="243">
        <f t="shared" si="29"/>
        <v>0</v>
      </c>
      <c r="Z21" s="417"/>
      <c r="AA21" s="417"/>
      <c r="AB21" s="417"/>
      <c r="AC21" s="417"/>
      <c r="AD21" s="417"/>
      <c r="AE21" s="240">
        <f t="shared" si="6"/>
        <v>0</v>
      </c>
      <c r="AF21" s="240">
        <f t="shared" si="15"/>
        <v>0</v>
      </c>
      <c r="AG21" s="240">
        <f t="shared" si="7"/>
        <v>0</v>
      </c>
      <c r="AH21" s="243">
        <f t="shared" si="16"/>
        <v>0</v>
      </c>
      <c r="AI21" s="417"/>
      <c r="AJ21" s="417"/>
      <c r="AK21" s="417"/>
      <c r="AL21" s="417"/>
      <c r="AM21" s="472"/>
      <c r="AN21" s="240">
        <f t="shared" si="8"/>
        <v>0</v>
      </c>
      <c r="AO21" s="240">
        <f t="shared" si="9"/>
        <v>0</v>
      </c>
      <c r="AP21" s="240">
        <f t="shared" si="10"/>
        <v>0</v>
      </c>
      <c r="AQ21" s="242">
        <f t="shared" si="17"/>
        <v>0</v>
      </c>
      <c r="AR21" s="420"/>
      <c r="AS21" s="420"/>
      <c r="AT21" s="420"/>
      <c r="AU21" s="420"/>
      <c r="AZ21" s="189"/>
      <c r="BA21" s="189"/>
      <c r="BB21" s="189"/>
      <c r="BC21" s="189"/>
      <c r="BD21" s="189"/>
      <c r="BE21" s="189"/>
      <c r="BG21" s="145">
        <f>IF($K21&gt;=0,+SUM(L$9:$L21)-$B21+Feb!$AZ$39+SUM(AQ$9:$AQ21)," ")</f>
        <v>6.6666666666748142E-3</v>
      </c>
      <c r="BH21" s="144">
        <f t="shared" si="21"/>
        <v>1</v>
      </c>
      <c r="BI21" s="146">
        <f t="shared" si="22"/>
        <v>0</v>
      </c>
      <c r="BJ21" s="146">
        <f t="shared" si="23"/>
        <v>6.6666666666748142E-3</v>
      </c>
      <c r="BK21" s="146">
        <f t="shared" si="24"/>
        <v>4.0000000000048885E-3</v>
      </c>
      <c r="BL21" s="164">
        <f>IF(BN21=2,+BK21+BI21,"")</f>
        <v>4.0000000000048885E-3</v>
      </c>
      <c r="BM21" s="157">
        <f>+P21</f>
        <v>7.0419999999999998</v>
      </c>
      <c r="BN21">
        <f t="shared" si="31"/>
        <v>2</v>
      </c>
    </row>
    <row r="22" spans="1:66" ht="15.95" customHeight="1" x14ac:dyDescent="0.25">
      <c r="A22" s="83"/>
      <c r="B22" s="84">
        <f>IF($I22&lt;&gt;"",IF(WEEKDAY($I22,2)&lt;6,IF(VLOOKUP(WEEKDAY($I22,2),InputUge,3)&gt;0,IF($A22="",VLOOKUP(WEEKDAY($I22,2),InputUge,3)+MAX(B$8:B21),IF($A22&lt;VLOOKUP(WEEKDAY($I22,2),InputUge,3),$A22+MAX(B$8:B21),VLOOKUP(WEEKDAY($I22,2),InputUge,3)+MAX(B$8:B21))),""),""),"")</f>
        <v>74.013333333333321</v>
      </c>
      <c r="C22" s="144">
        <f t="shared" si="0"/>
        <v>1</v>
      </c>
      <c r="D22" s="146">
        <f>FLOOR(B22,C22)</f>
        <v>74</v>
      </c>
      <c r="E22" s="146">
        <f>+B22-D22</f>
        <v>1.3333333333321207E-2</v>
      </c>
      <c r="F22" s="146">
        <f t="shared" si="1"/>
        <v>7.9999999999927247E-3</v>
      </c>
      <c r="G22" s="261">
        <f t="shared" si="19"/>
        <v>74.007999999999996</v>
      </c>
      <c r="H22" s="4">
        <v>14</v>
      </c>
      <c r="I22" s="16">
        <f t="shared" si="18"/>
        <v>41319</v>
      </c>
      <c r="J22" s="6">
        <v>0.34791666666666665</v>
      </c>
      <c r="K22" s="6">
        <v>0.73958333333333337</v>
      </c>
      <c r="L22" s="5">
        <f t="shared" si="2"/>
        <v>9.4</v>
      </c>
      <c r="M22" s="141">
        <f t="shared" si="3"/>
        <v>9</v>
      </c>
      <c r="N22" s="141">
        <f t="shared" si="4"/>
        <v>0.40000000000000036</v>
      </c>
      <c r="O22" s="141">
        <f t="shared" si="5"/>
        <v>0.24000000000000021</v>
      </c>
      <c r="P22" s="241">
        <f>IF(J22="","",O22+M22)</f>
        <v>9.24</v>
      </c>
      <c r="Q22" s="591"/>
      <c r="R22" s="592"/>
      <c r="S22" s="592"/>
      <c r="T22" s="593"/>
      <c r="U22" s="417"/>
      <c r="V22" s="240">
        <f t="shared" si="26"/>
        <v>0</v>
      </c>
      <c r="W22" s="240">
        <f t="shared" si="27"/>
        <v>0</v>
      </c>
      <c r="X22" s="240">
        <f t="shared" si="28"/>
        <v>0</v>
      </c>
      <c r="Y22" s="243">
        <f t="shared" si="29"/>
        <v>0</v>
      </c>
      <c r="Z22" s="417"/>
      <c r="AA22" s="417"/>
      <c r="AB22" s="417"/>
      <c r="AC22" s="417"/>
      <c r="AD22" s="417"/>
      <c r="AE22" s="240">
        <f t="shared" si="6"/>
        <v>0</v>
      </c>
      <c r="AF22" s="240">
        <f t="shared" si="15"/>
        <v>0</v>
      </c>
      <c r="AG22" s="240">
        <f t="shared" si="7"/>
        <v>0</v>
      </c>
      <c r="AH22" s="243">
        <f t="shared" si="16"/>
        <v>0</v>
      </c>
      <c r="AI22" s="417"/>
      <c r="AJ22" s="417"/>
      <c r="AK22" s="417"/>
      <c r="AL22" s="417"/>
      <c r="AM22" s="472"/>
      <c r="AN22" s="240">
        <f t="shared" si="8"/>
        <v>0</v>
      </c>
      <c r="AO22" s="240">
        <f t="shared" si="9"/>
        <v>0</v>
      </c>
      <c r="AP22" s="240">
        <f t="shared" si="10"/>
        <v>0</v>
      </c>
      <c r="AQ22" s="242">
        <f t="shared" si="17"/>
        <v>0</v>
      </c>
      <c r="AR22" s="420"/>
      <c r="AS22" s="420"/>
      <c r="AT22" s="420"/>
      <c r="AU22" s="420"/>
      <c r="AZ22" s="189"/>
      <c r="BA22" s="189"/>
      <c r="BB22" s="189"/>
      <c r="BC22" s="189"/>
      <c r="BD22" s="189"/>
      <c r="BE22" s="189"/>
      <c r="BG22" s="145">
        <f>IF($K22&gt;=0,+SUM(L$9:$L22)-$B22+Feb!$AZ$39+SUM(AQ$9:$AQ22)," ")+0.01</f>
        <v>6.6666666666839094E-3</v>
      </c>
      <c r="BH22" s="144">
        <f t="shared" si="21"/>
        <v>1</v>
      </c>
      <c r="BI22" s="146">
        <f t="shared" si="22"/>
        <v>0</v>
      </c>
      <c r="BJ22" s="146">
        <f t="shared" si="23"/>
        <v>6.6666666666839094E-3</v>
      </c>
      <c r="BK22" s="146">
        <f t="shared" si="24"/>
        <v>4.000000000010346E-3</v>
      </c>
      <c r="BL22" s="164">
        <f t="shared" si="20"/>
        <v>4.000000000010346E-3</v>
      </c>
      <c r="BM22" s="157">
        <f t="shared" si="30"/>
        <v>9.24</v>
      </c>
      <c r="BN22">
        <f t="shared" si="31"/>
        <v>2</v>
      </c>
    </row>
    <row r="23" spans="1:66" ht="15.95" customHeight="1" x14ac:dyDescent="0.25">
      <c r="A23" s="83"/>
      <c r="B23" s="84">
        <f>IF($I23&lt;&gt;"",IF(WEEKDAY($I23,2)&lt;6,IF(VLOOKUP(WEEKDAY($I23,2),InputUge,3)&gt;0,IF($A23="",VLOOKUP(WEEKDAY($I23,2),InputUge,3)+MAX(B$8:B22),IF($A23&lt;VLOOKUP(WEEKDAY($I23,2),InputUge,3),$A23+MAX(B$8:B22),VLOOKUP(WEEKDAY($I23,2),InputUge,3)+MAX(B$8:B22))),""),""),"")</f>
        <v>80.413333333333327</v>
      </c>
      <c r="C23" s="144">
        <f t="shared" si="0"/>
        <v>1</v>
      </c>
      <c r="D23" s="146">
        <f>FLOOR(B23,C23)</f>
        <v>80</v>
      </c>
      <c r="E23" s="146">
        <f>+B23-D23</f>
        <v>0.41333333333332689</v>
      </c>
      <c r="F23" s="146">
        <f t="shared" si="1"/>
        <v>0.24799999999999617</v>
      </c>
      <c r="G23" s="261">
        <f t="shared" si="19"/>
        <v>80.24799999999999</v>
      </c>
      <c r="H23" s="4">
        <v>15</v>
      </c>
      <c r="I23" s="16">
        <f t="shared" si="18"/>
        <v>41320</v>
      </c>
      <c r="J23" s="6">
        <v>0.34791666666666665</v>
      </c>
      <c r="K23" s="6">
        <v>0.61458333333333337</v>
      </c>
      <c r="L23" s="5">
        <f t="shared" si="2"/>
        <v>6.4</v>
      </c>
      <c r="M23" s="141">
        <f t="shared" si="3"/>
        <v>6</v>
      </c>
      <c r="N23" s="141">
        <f t="shared" si="4"/>
        <v>0.40000000000000036</v>
      </c>
      <c r="O23" s="141">
        <f t="shared" si="5"/>
        <v>0.24000000000000021</v>
      </c>
      <c r="P23" s="162">
        <f>IF(J23="","",O23+M23)</f>
        <v>6.24</v>
      </c>
      <c r="Q23" s="591"/>
      <c r="R23" s="592"/>
      <c r="S23" s="592"/>
      <c r="T23" s="593"/>
      <c r="U23" s="417"/>
      <c r="V23" s="240">
        <f t="shared" si="26"/>
        <v>0</v>
      </c>
      <c r="W23" s="240">
        <f t="shared" si="27"/>
        <v>0</v>
      </c>
      <c r="X23" s="240">
        <f t="shared" si="28"/>
        <v>0</v>
      </c>
      <c r="Y23" s="243">
        <f t="shared" si="29"/>
        <v>0</v>
      </c>
      <c r="Z23" s="417"/>
      <c r="AA23" s="417"/>
      <c r="AB23" s="417"/>
      <c r="AC23" s="417"/>
      <c r="AD23" s="417"/>
      <c r="AE23" s="240">
        <f t="shared" si="6"/>
        <v>0</v>
      </c>
      <c r="AF23" s="240">
        <f t="shared" si="15"/>
        <v>0</v>
      </c>
      <c r="AG23" s="240">
        <f t="shared" si="7"/>
        <v>0</v>
      </c>
      <c r="AH23" s="243">
        <f t="shared" si="16"/>
        <v>0</v>
      </c>
      <c r="AI23" s="417"/>
      <c r="AJ23" s="417"/>
      <c r="AK23" s="417"/>
      <c r="AL23" s="417"/>
      <c r="AM23" s="472"/>
      <c r="AN23" s="240">
        <f t="shared" si="8"/>
        <v>0</v>
      </c>
      <c r="AO23" s="240">
        <f t="shared" si="9"/>
        <v>0</v>
      </c>
      <c r="AP23" s="240">
        <f t="shared" si="10"/>
        <v>0</v>
      </c>
      <c r="AQ23" s="242">
        <f t="shared" si="17"/>
        <v>0</v>
      </c>
      <c r="AR23" s="420"/>
      <c r="AS23" s="420"/>
      <c r="AT23" s="420"/>
      <c r="AU23" s="420"/>
      <c r="AZ23" s="189"/>
      <c r="BA23" s="189"/>
      <c r="BB23" s="189"/>
      <c r="BC23" s="189"/>
      <c r="BD23" s="189"/>
      <c r="BE23" s="189"/>
      <c r="BG23" s="145">
        <f>IF($K23&gt;=0,+SUM(L$9:$L23)-$B23+Feb!$AZ$39+SUM(AQ$9:$AQ23)," ")+0.01</f>
        <v>6.6666666666839094E-3</v>
      </c>
      <c r="BH23" s="144">
        <f t="shared" si="21"/>
        <v>1</v>
      </c>
      <c r="BI23" s="146">
        <f t="shared" si="22"/>
        <v>0</v>
      </c>
      <c r="BJ23" s="146">
        <f t="shared" si="23"/>
        <v>6.6666666666839094E-3</v>
      </c>
      <c r="BK23" s="146">
        <f t="shared" si="24"/>
        <v>4.000000000010346E-3</v>
      </c>
      <c r="BL23" s="164">
        <f t="shared" si="20"/>
        <v>4.000000000010346E-3</v>
      </c>
      <c r="BM23" s="157">
        <f t="shared" si="30"/>
        <v>6.24</v>
      </c>
      <c r="BN23">
        <f t="shared" si="31"/>
        <v>2</v>
      </c>
    </row>
    <row r="24" spans="1:66" ht="15.95" customHeight="1" x14ac:dyDescent="0.25">
      <c r="A24" s="83"/>
      <c r="B24" s="84" t="str">
        <f>IF($I24&lt;&gt;"",IF(WEEKDAY($I24,2)&lt;6,IF(VLOOKUP(WEEKDAY($I24,2),InputUge,3)&gt;0,IF($A24="",VLOOKUP(WEEKDAY($I24,2),InputUge,3)+MAX(B$8:B23),IF($A24&lt;VLOOKUP(WEEKDAY($I24,2),InputUge,3),$A24+MAX(B$8:B23),VLOOKUP(WEEKDAY($I24,2),InputUge,3)+MAX(B$8:B23))),""),""),"")</f>
        <v/>
      </c>
      <c r="C24" s="144">
        <f t="shared" si="0"/>
        <v>1</v>
      </c>
      <c r="D24" s="146" t="e">
        <f t="shared" si="13"/>
        <v>#VALUE!</v>
      </c>
      <c r="E24" s="146" t="e">
        <f t="shared" si="14"/>
        <v>#VALUE!</v>
      </c>
      <c r="F24" s="146" t="e">
        <f t="shared" si="1"/>
        <v>#VALUE!</v>
      </c>
      <c r="G24" s="261"/>
      <c r="H24" s="4">
        <v>16</v>
      </c>
      <c r="I24" s="16">
        <f t="shared" si="18"/>
        <v>41321</v>
      </c>
      <c r="J24" s="6"/>
      <c r="K24" s="6"/>
      <c r="L24" s="5"/>
      <c r="M24" s="141"/>
      <c r="N24" s="141"/>
      <c r="O24" s="141"/>
      <c r="P24" s="162"/>
      <c r="Q24" s="591"/>
      <c r="R24" s="592"/>
      <c r="S24" s="592"/>
      <c r="T24" s="593"/>
      <c r="U24" s="417"/>
      <c r="V24" s="240">
        <f t="shared" si="26"/>
        <v>0</v>
      </c>
      <c r="W24" s="240">
        <f>+U24-V24</f>
        <v>0</v>
      </c>
      <c r="X24" s="240">
        <f t="shared" si="28"/>
        <v>0</v>
      </c>
      <c r="Y24" s="243">
        <f>+X24+V24</f>
        <v>0</v>
      </c>
      <c r="Z24" s="417"/>
      <c r="AA24" s="417"/>
      <c r="AB24" s="417"/>
      <c r="AC24" s="417"/>
      <c r="AD24" s="417"/>
      <c r="AE24" s="240">
        <f t="shared" si="6"/>
        <v>0</v>
      </c>
      <c r="AF24" s="240">
        <f t="shared" si="15"/>
        <v>0</v>
      </c>
      <c r="AG24" s="240">
        <f t="shared" si="7"/>
        <v>0</v>
      </c>
      <c r="AH24" s="243">
        <f t="shared" si="16"/>
        <v>0</v>
      </c>
      <c r="AI24" s="417"/>
      <c r="AJ24" s="417"/>
      <c r="AK24" s="417"/>
      <c r="AL24" s="417"/>
      <c r="AM24" s="472"/>
      <c r="AN24" s="240">
        <f t="shared" si="8"/>
        <v>0</v>
      </c>
      <c r="AO24" s="240">
        <f t="shared" si="9"/>
        <v>0</v>
      </c>
      <c r="AP24" s="240">
        <f t="shared" si="10"/>
        <v>0</v>
      </c>
      <c r="AQ24" s="242">
        <f t="shared" si="17"/>
        <v>0</v>
      </c>
      <c r="AR24" s="420"/>
      <c r="AS24" s="420"/>
      <c r="AT24" s="420"/>
      <c r="AU24" s="420"/>
      <c r="AZ24" s="189"/>
      <c r="BA24" s="189"/>
      <c r="BB24" s="189"/>
      <c r="BC24" s="189"/>
      <c r="BD24" s="189"/>
      <c r="BE24" s="189"/>
      <c r="BG24" s="145" t="e">
        <f>IF($K24&gt;=0,+SUM(L$9:$L24)-$B24+Feb!$AZ$39+SUM(AQ$9:$AQ24)," ")</f>
        <v>#VALUE!</v>
      </c>
      <c r="BH24" s="144" t="e">
        <f t="shared" si="21"/>
        <v>#VALUE!</v>
      </c>
      <c r="BI24" s="146" t="e">
        <f t="shared" si="22"/>
        <v>#VALUE!</v>
      </c>
      <c r="BJ24" s="146" t="e">
        <f t="shared" si="23"/>
        <v>#VALUE!</v>
      </c>
      <c r="BK24" s="146" t="e">
        <f t="shared" si="24"/>
        <v>#VALUE!</v>
      </c>
      <c r="BL24" s="164"/>
      <c r="BM24" s="157">
        <f>+P24</f>
        <v>0</v>
      </c>
      <c r="BN24">
        <f t="shared" si="31"/>
        <v>2</v>
      </c>
    </row>
    <row r="25" spans="1:66" ht="15.95" customHeight="1" x14ac:dyDescent="0.25">
      <c r="A25" s="83"/>
      <c r="B25" s="84" t="str">
        <f>IF($I25&lt;&gt;"",IF(WEEKDAY($I25,2)&lt;6,IF(VLOOKUP(WEEKDAY($I25,2),InputUge,3)&gt;0,IF($A25="",VLOOKUP(WEEKDAY($I25,2),InputUge,3)+MAX(B$8:B24),IF($A25&lt;VLOOKUP(WEEKDAY($I25,2),InputUge,3),$A25+MAX(B$8:B24),VLOOKUP(WEEKDAY($I25,2),InputUge,3)+MAX(B$8:B24))),""),""),"")</f>
        <v/>
      </c>
      <c r="C25" s="144">
        <f t="shared" si="0"/>
        <v>1</v>
      </c>
      <c r="D25" s="146" t="e">
        <f t="shared" si="13"/>
        <v>#VALUE!</v>
      </c>
      <c r="E25" s="146" t="e">
        <f t="shared" si="14"/>
        <v>#VALUE!</v>
      </c>
      <c r="F25" s="146" t="e">
        <f t="shared" si="1"/>
        <v>#VALUE!</v>
      </c>
      <c r="G25" s="261"/>
      <c r="H25" s="4">
        <v>17</v>
      </c>
      <c r="I25" s="16">
        <f t="shared" si="18"/>
        <v>41322</v>
      </c>
      <c r="J25" s="6"/>
      <c r="K25" s="6"/>
      <c r="L25" s="5"/>
      <c r="M25" s="141"/>
      <c r="N25" s="141"/>
      <c r="O25" s="141"/>
      <c r="P25" s="162"/>
      <c r="Q25" s="591"/>
      <c r="R25" s="592"/>
      <c r="S25" s="592"/>
      <c r="T25" s="593"/>
      <c r="U25" s="417"/>
      <c r="V25" s="240">
        <f t="shared" si="26"/>
        <v>0</v>
      </c>
      <c r="W25" s="240">
        <f>+U25-V25</f>
        <v>0</v>
      </c>
      <c r="X25" s="240">
        <f t="shared" si="28"/>
        <v>0</v>
      </c>
      <c r="Y25" s="243">
        <f>+X25+V25</f>
        <v>0</v>
      </c>
      <c r="Z25" s="417"/>
      <c r="AA25" s="417"/>
      <c r="AB25" s="417"/>
      <c r="AC25" s="417"/>
      <c r="AD25" s="417"/>
      <c r="AE25" s="240">
        <f t="shared" si="6"/>
        <v>0</v>
      </c>
      <c r="AF25" s="240">
        <f t="shared" si="15"/>
        <v>0</v>
      </c>
      <c r="AG25" s="240">
        <f t="shared" si="7"/>
        <v>0</v>
      </c>
      <c r="AH25" s="243">
        <f t="shared" si="16"/>
        <v>0</v>
      </c>
      <c r="AI25" s="417"/>
      <c r="AJ25" s="417"/>
      <c r="AK25" s="417"/>
      <c r="AL25" s="417"/>
      <c r="AM25" s="472"/>
      <c r="AN25" s="240">
        <f t="shared" si="8"/>
        <v>0</v>
      </c>
      <c r="AO25" s="240">
        <f t="shared" si="9"/>
        <v>0</v>
      </c>
      <c r="AP25" s="240">
        <f t="shared" si="10"/>
        <v>0</v>
      </c>
      <c r="AQ25" s="242">
        <f t="shared" si="17"/>
        <v>0</v>
      </c>
      <c r="AR25" s="420"/>
      <c r="AS25" s="420"/>
      <c r="AT25" s="420"/>
      <c r="AU25" s="420"/>
      <c r="AZ25" s="189"/>
      <c r="BA25" s="189"/>
      <c r="BB25" s="189"/>
      <c r="BC25" s="189"/>
      <c r="BD25" s="189"/>
      <c r="BE25" s="189"/>
      <c r="BG25" s="145" t="e">
        <f>IF($K25&gt;=0,+SUM(L$9:$L25)-$B25+Feb!$AZ$39+SUM(AQ$9:$AQ25)," ")</f>
        <v>#VALUE!</v>
      </c>
      <c r="BH25" s="144" t="e">
        <f t="shared" si="21"/>
        <v>#VALUE!</v>
      </c>
      <c r="BI25" s="146" t="e">
        <f t="shared" si="22"/>
        <v>#VALUE!</v>
      </c>
      <c r="BJ25" s="146" t="e">
        <f t="shared" si="23"/>
        <v>#VALUE!</v>
      </c>
      <c r="BK25" s="146" t="e">
        <f t="shared" si="24"/>
        <v>#VALUE!</v>
      </c>
      <c r="BL25" s="164"/>
      <c r="BM25" s="157">
        <f>+P25</f>
        <v>0</v>
      </c>
      <c r="BN25">
        <f t="shared" si="31"/>
        <v>2</v>
      </c>
    </row>
    <row r="26" spans="1:66" ht="15.95" customHeight="1" x14ac:dyDescent="0.25">
      <c r="A26" s="83"/>
      <c r="B26" s="84">
        <f>IF($I26&lt;&gt;"",IF(WEEKDAY($I26,2)&lt;6,IF(VLOOKUP(WEEKDAY($I26,2),InputUge,3)&gt;0,IF($A26="",VLOOKUP(WEEKDAY($I26,2),InputUge,3)+MAX(B$8:B25),IF($A26&lt;VLOOKUP(WEEKDAY($I26,2),InputUge,3),$A26+MAX(B$8:B25),VLOOKUP(WEEKDAY($I26,2),InputUge,3)+MAX(B$8:B25))),""),""),"")</f>
        <v>87.476666666666659</v>
      </c>
      <c r="C26" s="144">
        <f t="shared" si="0"/>
        <v>1</v>
      </c>
      <c r="D26" s="146">
        <f t="shared" si="13"/>
        <v>87</v>
      </c>
      <c r="E26" s="146">
        <f t="shared" si="14"/>
        <v>0.47666666666665947</v>
      </c>
      <c r="F26" s="146">
        <f t="shared" si="1"/>
        <v>0.28599999999999565</v>
      </c>
      <c r="G26" s="261">
        <f t="shared" si="19"/>
        <v>87.286000000000001</v>
      </c>
      <c r="H26" s="4">
        <v>18</v>
      </c>
      <c r="I26" s="16">
        <f t="shared" si="18"/>
        <v>41323</v>
      </c>
      <c r="J26" s="6">
        <v>0.34791666666666665</v>
      </c>
      <c r="K26" s="6">
        <v>0.64236111111111105</v>
      </c>
      <c r="L26" s="5">
        <f>IF(K26&gt;0,ROUND(((K26-J26)*24)-SUM(BR26:BS26)+BT26,2)+IF(Fredagsfrokost="n",IF(WEEKDAY($I26,2)=5,IF(K26&gt;=0.5,IF(K26&lt;=13/24,0,0),0),0),0),IF(AW26&gt;0,AW26,""))</f>
        <v>7.07</v>
      </c>
      <c r="M26" s="141">
        <f>FLOOR(L26,1)</f>
        <v>7</v>
      </c>
      <c r="N26" s="141">
        <f>+L26-M26</f>
        <v>7.0000000000000284E-2</v>
      </c>
      <c r="O26" s="141">
        <f>+N26/100*60</f>
        <v>4.2000000000000169E-2</v>
      </c>
      <c r="P26" s="162">
        <f>IF(J26="","",O26+M26)</f>
        <v>7.0419999999999998</v>
      </c>
      <c r="Q26" s="591"/>
      <c r="R26" s="592"/>
      <c r="S26" s="592"/>
      <c r="T26" s="593"/>
      <c r="U26" s="417"/>
      <c r="V26" s="240">
        <f t="shared" si="26"/>
        <v>0</v>
      </c>
      <c r="W26" s="240">
        <f>+U26-V26</f>
        <v>0</v>
      </c>
      <c r="X26" s="240">
        <f t="shared" si="28"/>
        <v>0</v>
      </c>
      <c r="Y26" s="243">
        <f>+X26+V26</f>
        <v>0</v>
      </c>
      <c r="Z26" s="417"/>
      <c r="AA26" s="417"/>
      <c r="AB26" s="417"/>
      <c r="AC26" s="417"/>
      <c r="AD26" s="417"/>
      <c r="AE26" s="240">
        <f t="shared" si="6"/>
        <v>0</v>
      </c>
      <c r="AF26" s="240">
        <f t="shared" si="15"/>
        <v>0</v>
      </c>
      <c r="AG26" s="240">
        <f t="shared" si="7"/>
        <v>0</v>
      </c>
      <c r="AH26" s="243">
        <f t="shared" si="16"/>
        <v>0</v>
      </c>
      <c r="AI26" s="417"/>
      <c r="AJ26" s="417"/>
      <c r="AK26" s="417"/>
      <c r="AL26" s="417"/>
      <c r="AM26" s="472"/>
      <c r="AN26" s="240">
        <f t="shared" si="8"/>
        <v>0</v>
      </c>
      <c r="AO26" s="240">
        <f t="shared" si="9"/>
        <v>0</v>
      </c>
      <c r="AP26" s="240">
        <f t="shared" si="10"/>
        <v>0</v>
      </c>
      <c r="AQ26" s="242">
        <f t="shared" si="17"/>
        <v>0</v>
      </c>
      <c r="AR26" s="420"/>
      <c r="AS26" s="420"/>
      <c r="AT26" s="420"/>
      <c r="AU26" s="420"/>
      <c r="AZ26" s="189"/>
      <c r="BA26" s="189"/>
      <c r="BB26" s="189"/>
      <c r="BC26" s="189"/>
      <c r="BD26" s="189"/>
      <c r="BE26" s="189"/>
      <c r="BG26" s="145">
        <f>IF($K26&gt;=0,+SUM(L$9:$L26)-$B26+Feb!$AZ$39+SUM(AQ$9:$AQ26)," ")</f>
        <v>3.3333333333587234E-3</v>
      </c>
      <c r="BH26" s="144">
        <f t="shared" si="21"/>
        <v>1</v>
      </c>
      <c r="BI26" s="146">
        <f t="shared" si="22"/>
        <v>0</v>
      </c>
      <c r="BJ26" s="146">
        <f t="shared" si="23"/>
        <v>3.3333333333587234E-3</v>
      </c>
      <c r="BK26" s="146">
        <f t="shared" si="24"/>
        <v>2.0000000000152339E-3</v>
      </c>
      <c r="BL26" s="164">
        <f t="shared" si="20"/>
        <v>2.0000000000152339E-3</v>
      </c>
      <c r="BM26" s="157">
        <f>+P26</f>
        <v>7.0419999999999998</v>
      </c>
      <c r="BN26">
        <f t="shared" si="31"/>
        <v>2</v>
      </c>
    </row>
    <row r="27" spans="1:66" ht="15.95" customHeight="1" x14ac:dyDescent="0.25">
      <c r="A27" s="83"/>
      <c r="B27" s="84">
        <f>IF($I27&lt;&gt;"",IF(WEEKDAY($I27,2)&lt;6,IF(VLOOKUP(WEEKDAY($I27,2),InputUge,3)&gt;0,IF($A27="",VLOOKUP(WEEKDAY($I27,2),InputUge,3)+MAX(B$8:B26),IF($A27&lt;VLOOKUP(WEEKDAY($I27,2),InputUge,3),$A27+MAX(B$8:B26),VLOOKUP(WEEKDAY($I27,2),InputUge,3)+MAX(B$8:B26))),""),""),"")</f>
        <v>94.543333333333322</v>
      </c>
      <c r="C27" s="144">
        <f t="shared" si="0"/>
        <v>1</v>
      </c>
      <c r="D27" s="146">
        <f t="shared" si="13"/>
        <v>94</v>
      </c>
      <c r="E27" s="146">
        <f t="shared" si="14"/>
        <v>0.54333333333332234</v>
      </c>
      <c r="F27" s="146">
        <f t="shared" si="1"/>
        <v>0.32599999999999341</v>
      </c>
      <c r="G27" s="261">
        <f t="shared" si="19"/>
        <v>94.325999999999993</v>
      </c>
      <c r="H27" s="4">
        <v>19</v>
      </c>
      <c r="I27" s="16">
        <f t="shared" si="18"/>
        <v>41324</v>
      </c>
      <c r="J27" s="6">
        <v>0.34791666666666665</v>
      </c>
      <c r="K27" s="6">
        <v>0.64236111111111105</v>
      </c>
      <c r="L27" s="5">
        <f>IF(K27&gt;0,ROUND(((K27-J27)*24)-SUM(BR27:BS27)+BT27,2)+IF(Fredagsfrokost="n",IF(WEEKDAY($I27,2)=5,IF(K27&gt;=0.5,IF(K27&lt;=13/24,0,0),0),0),0),IF(AW27&gt;0,AW27,""))</f>
        <v>7.07</v>
      </c>
      <c r="M27" s="141">
        <f>FLOOR(L27,1)</f>
        <v>7</v>
      </c>
      <c r="N27" s="141">
        <f>+L27-M27</f>
        <v>7.0000000000000284E-2</v>
      </c>
      <c r="O27" s="141">
        <f>+N27/100*60</f>
        <v>4.2000000000000169E-2</v>
      </c>
      <c r="P27" s="162">
        <f>IF(J27="","",O27+M27)</f>
        <v>7.0419999999999998</v>
      </c>
      <c r="Q27" s="591"/>
      <c r="R27" s="592"/>
      <c r="S27" s="592"/>
      <c r="T27" s="593"/>
      <c r="U27" s="417"/>
      <c r="V27" s="240">
        <f t="shared" si="26"/>
        <v>0</v>
      </c>
      <c r="W27" s="240">
        <f>+U27-V27</f>
        <v>0</v>
      </c>
      <c r="X27" s="240">
        <f t="shared" si="28"/>
        <v>0</v>
      </c>
      <c r="Y27" s="243">
        <f>+X27+V27</f>
        <v>0</v>
      </c>
      <c r="Z27" s="417"/>
      <c r="AA27" s="417"/>
      <c r="AB27" s="417"/>
      <c r="AC27" s="417"/>
      <c r="AD27" s="417"/>
      <c r="AE27" s="240">
        <f t="shared" si="6"/>
        <v>0</v>
      </c>
      <c r="AF27" s="240">
        <f t="shared" si="15"/>
        <v>0</v>
      </c>
      <c r="AG27" s="240">
        <f t="shared" si="7"/>
        <v>0</v>
      </c>
      <c r="AH27" s="243">
        <f t="shared" si="16"/>
        <v>0</v>
      </c>
      <c r="AI27" s="417"/>
      <c r="AJ27" s="417"/>
      <c r="AK27" s="417"/>
      <c r="AL27" s="417"/>
      <c r="AM27" s="472"/>
      <c r="AN27" s="240">
        <f t="shared" si="8"/>
        <v>0</v>
      </c>
      <c r="AO27" s="240">
        <f t="shared" si="9"/>
        <v>0</v>
      </c>
      <c r="AP27" s="240">
        <f t="shared" si="10"/>
        <v>0</v>
      </c>
      <c r="AQ27" s="242">
        <f t="shared" si="17"/>
        <v>0</v>
      </c>
      <c r="AR27" s="420"/>
      <c r="AS27" s="420"/>
      <c r="AT27" s="420"/>
      <c r="AU27" s="420"/>
      <c r="AZ27" s="189"/>
      <c r="BA27" s="189"/>
      <c r="BB27" s="189"/>
      <c r="BC27" s="189"/>
      <c r="BD27" s="189"/>
      <c r="BE27" s="189"/>
      <c r="BG27" s="145">
        <f>IF($K27&gt;=0,+SUM(L$9:$L27)-$B27+Feb!$AZ$39+SUM(AQ$9:$AQ27)," ")</f>
        <v>6.6666666666890251E-3</v>
      </c>
      <c r="BH27" s="144">
        <f t="shared" si="21"/>
        <v>1</v>
      </c>
      <c r="BI27" s="146">
        <f t="shared" si="22"/>
        <v>0</v>
      </c>
      <c r="BJ27" s="146">
        <f t="shared" si="23"/>
        <v>6.6666666666890251E-3</v>
      </c>
      <c r="BK27" s="146">
        <f t="shared" si="24"/>
        <v>4.0000000000134147E-3</v>
      </c>
      <c r="BL27" s="164">
        <f t="shared" si="20"/>
        <v>4.0000000000134147E-3</v>
      </c>
      <c r="BM27" s="157">
        <f>+P27</f>
        <v>7.0419999999999998</v>
      </c>
      <c r="BN27">
        <f t="shared" si="31"/>
        <v>2</v>
      </c>
    </row>
    <row r="28" spans="1:66" ht="15.95" customHeight="1" x14ac:dyDescent="0.25">
      <c r="A28" s="83"/>
      <c r="B28" s="84">
        <f>IF($I28&lt;&gt;"",IF(WEEKDAY($I28,2)&lt;6,IF(VLOOKUP(WEEKDAY($I28,2),InputUge,3)&gt;0,IF($A28="",VLOOKUP(WEEKDAY($I28,2),InputUge,3)+MAX(B$8:B27),IF($A28&lt;VLOOKUP(WEEKDAY($I28,2),InputUge,3),$A28+MAX(B$8:B27),VLOOKUP(WEEKDAY($I28,2),InputUge,3)+MAX(B$8:B27))),""),""),"")</f>
        <v>101.60999999999999</v>
      </c>
      <c r="C28" s="144">
        <f t="shared" si="0"/>
        <v>1</v>
      </c>
      <c r="D28" s="146">
        <f>FLOOR(B28,C28)</f>
        <v>101</v>
      </c>
      <c r="E28" s="146">
        <f>+B28-D28</f>
        <v>0.60999999999998522</v>
      </c>
      <c r="F28" s="146">
        <f t="shared" si="1"/>
        <v>0.36599999999999111</v>
      </c>
      <c r="G28" s="261">
        <f t="shared" si="19"/>
        <v>101.36599999999999</v>
      </c>
      <c r="H28" s="4">
        <v>20</v>
      </c>
      <c r="I28" s="16">
        <f t="shared" si="18"/>
        <v>41325</v>
      </c>
      <c r="J28" s="6">
        <v>0.34814814814814815</v>
      </c>
      <c r="K28" s="6">
        <v>0.64236111111111105</v>
      </c>
      <c r="L28" s="5">
        <f>IF(K28&gt;0,ROUND(((K28-J28)*24)-SUM(BR28:BS28)+BT28,2)+IF(Fredagsfrokost="n",IF(WEEKDAY($I28,2)=5,IF(K28&gt;=0.5,IF(K28&lt;=13/24,0,0),0),0),0),IF(AW28&gt;0,AW28,""))</f>
        <v>7.06</v>
      </c>
      <c r="M28" s="141">
        <f>FLOOR(L28,1)</f>
        <v>7</v>
      </c>
      <c r="N28" s="141">
        <f>+L28-M28</f>
        <v>5.9999999999999609E-2</v>
      </c>
      <c r="O28" s="141">
        <f>+N28/100*60</f>
        <v>3.5999999999999761E-2</v>
      </c>
      <c r="P28" s="162">
        <f>IF(J28="","",O28+M28)</f>
        <v>7.0359999999999996</v>
      </c>
      <c r="Q28" s="591"/>
      <c r="R28" s="592"/>
      <c r="S28" s="592"/>
      <c r="T28" s="593"/>
      <c r="U28" s="417"/>
      <c r="V28" s="240">
        <f t="shared" si="26"/>
        <v>0</v>
      </c>
      <c r="W28" s="240">
        <f>+U28-V28</f>
        <v>0</v>
      </c>
      <c r="X28" s="240">
        <f t="shared" si="28"/>
        <v>0</v>
      </c>
      <c r="Y28" s="243">
        <f>+X28+V28</f>
        <v>0</v>
      </c>
      <c r="Z28" s="417"/>
      <c r="AA28" s="417"/>
      <c r="AB28" s="417"/>
      <c r="AC28" s="417"/>
      <c r="AD28" s="417"/>
      <c r="AE28" s="240">
        <f t="shared" si="6"/>
        <v>0</v>
      </c>
      <c r="AF28" s="240">
        <f t="shared" si="15"/>
        <v>0</v>
      </c>
      <c r="AG28" s="240">
        <f t="shared" si="7"/>
        <v>0</v>
      </c>
      <c r="AH28" s="243">
        <f t="shared" si="16"/>
        <v>0</v>
      </c>
      <c r="AI28" s="417"/>
      <c r="AJ28" s="417"/>
      <c r="AK28" s="417"/>
      <c r="AL28" s="417"/>
      <c r="AM28" s="472"/>
      <c r="AN28" s="240">
        <f t="shared" si="8"/>
        <v>0</v>
      </c>
      <c r="AO28" s="240">
        <f t="shared" si="9"/>
        <v>0</v>
      </c>
      <c r="AP28" s="240">
        <f t="shared" si="10"/>
        <v>0</v>
      </c>
      <c r="AQ28" s="242">
        <f t="shared" si="17"/>
        <v>0</v>
      </c>
      <c r="AR28" s="420"/>
      <c r="AS28" s="420"/>
      <c r="AT28" s="420"/>
      <c r="AU28" s="420"/>
      <c r="AZ28" s="189"/>
      <c r="BA28" s="189"/>
      <c r="BB28" s="189"/>
      <c r="BC28" s="189"/>
      <c r="BD28" s="189"/>
      <c r="BE28" s="189"/>
      <c r="BG28" s="145">
        <f>IF($K28&gt;=0,+SUM(L$9:$L28)-$B28+Feb!$AZ$39+SUM(AQ$9:$AQ28)," ")</f>
        <v>2.8421709430404007E-14</v>
      </c>
      <c r="BH28" s="144">
        <f t="shared" si="21"/>
        <v>1</v>
      </c>
      <c r="BI28" s="146">
        <f t="shared" si="22"/>
        <v>0</v>
      </c>
      <c r="BJ28" s="146">
        <f t="shared" si="23"/>
        <v>2.8421709430404007E-14</v>
      </c>
      <c r="BK28" s="146">
        <f t="shared" si="24"/>
        <v>1.7053025658242404E-14</v>
      </c>
      <c r="BL28" s="164">
        <f>IF(BN28=2,+BK28+BI28,"")</f>
        <v>1.7053025658242404E-14</v>
      </c>
      <c r="BM28" s="157">
        <f>+P28</f>
        <v>7.0359999999999996</v>
      </c>
      <c r="BN28">
        <f t="shared" si="31"/>
        <v>2</v>
      </c>
    </row>
    <row r="29" spans="1:66" ht="15.95" customHeight="1" x14ac:dyDescent="0.25">
      <c r="A29" s="83"/>
      <c r="B29" s="84">
        <f>IF($I29&lt;&gt;"",IF(WEEKDAY($I29,2)&lt;6,IF(VLOOKUP(WEEKDAY($I29,2),InputUge,3)&gt;0,IF($A29="",VLOOKUP(WEEKDAY($I29,2),InputUge,3)+MAX(B$8:B28),IF($A29&lt;VLOOKUP(WEEKDAY($I29,2),InputUge,3),$A29+MAX(B$8:B28),VLOOKUP(WEEKDAY($I29,2),InputUge,3)+MAX(B$8:B28))),""),""),"")</f>
        <v>111.01999999999998</v>
      </c>
      <c r="C29" s="144">
        <f t="shared" si="0"/>
        <v>1</v>
      </c>
      <c r="D29" s="146">
        <f>FLOOR(B29,C29)</f>
        <v>111</v>
      </c>
      <c r="E29" s="146">
        <f>+B29-D29</f>
        <v>1.999999999998181E-2</v>
      </c>
      <c r="F29" s="146">
        <f t="shared" si="1"/>
        <v>1.1999999999989087E-2</v>
      </c>
      <c r="G29" s="261">
        <f t="shared" si="19"/>
        <v>111.01199999999999</v>
      </c>
      <c r="H29" s="4">
        <v>21</v>
      </c>
      <c r="I29" s="16">
        <f t="shared" si="18"/>
        <v>41326</v>
      </c>
      <c r="J29" s="6">
        <v>0.34791666666666665</v>
      </c>
      <c r="K29" s="6">
        <v>0.73987268518518512</v>
      </c>
      <c r="L29" s="5">
        <f>IF(K29&gt;0,ROUND(((K29-J29)*24)-SUM(BR29:BS29)+BT29,2)+IF(Fredagsfrokost="n",IF(WEEKDAY($I29,2)=5,IF(K29&gt;=0.5,IF(K29&lt;=13/24,0,0),0),0),0),IF(AW29&gt;0,AW29,""))</f>
        <v>9.41</v>
      </c>
      <c r="M29" s="141">
        <f>FLOOR(L29,1)</f>
        <v>9</v>
      </c>
      <c r="N29" s="141">
        <f>+L29-M29</f>
        <v>0.41000000000000014</v>
      </c>
      <c r="O29" s="141">
        <f>+N29/100*60</f>
        <v>0.24600000000000008</v>
      </c>
      <c r="P29" s="241">
        <f>IF(J29="","",O29+M29)</f>
        <v>9.2460000000000004</v>
      </c>
      <c r="Q29" s="591"/>
      <c r="R29" s="592"/>
      <c r="S29" s="592"/>
      <c r="T29" s="593"/>
      <c r="U29" s="417"/>
      <c r="V29" s="240">
        <f t="shared" si="26"/>
        <v>0</v>
      </c>
      <c r="W29" s="240">
        <f t="shared" si="27"/>
        <v>0</v>
      </c>
      <c r="X29" s="240">
        <f t="shared" si="28"/>
        <v>0</v>
      </c>
      <c r="Y29" s="243">
        <f t="shared" si="29"/>
        <v>0</v>
      </c>
      <c r="Z29" s="417"/>
      <c r="AA29" s="417"/>
      <c r="AB29" s="417"/>
      <c r="AC29" s="417"/>
      <c r="AD29" s="417"/>
      <c r="AE29" s="240">
        <f t="shared" si="6"/>
        <v>0</v>
      </c>
      <c r="AF29" s="240">
        <f t="shared" si="15"/>
        <v>0</v>
      </c>
      <c r="AG29" s="240">
        <f t="shared" si="7"/>
        <v>0</v>
      </c>
      <c r="AH29" s="243">
        <f t="shared" si="16"/>
        <v>0</v>
      </c>
      <c r="AI29" s="417"/>
      <c r="AJ29" s="417"/>
      <c r="AK29" s="417"/>
      <c r="AL29" s="417"/>
      <c r="AM29" s="472"/>
      <c r="AN29" s="240">
        <f t="shared" si="8"/>
        <v>0</v>
      </c>
      <c r="AO29" s="240">
        <f t="shared" si="9"/>
        <v>0</v>
      </c>
      <c r="AP29" s="240">
        <f t="shared" si="10"/>
        <v>0</v>
      </c>
      <c r="AQ29" s="242">
        <f t="shared" si="17"/>
        <v>0</v>
      </c>
      <c r="AR29" s="420"/>
      <c r="AS29" s="420"/>
      <c r="AT29" s="420"/>
      <c r="AU29" s="420"/>
      <c r="AZ29" s="189"/>
      <c r="BA29" s="189"/>
      <c r="BB29" s="189"/>
      <c r="BC29" s="189"/>
      <c r="BD29" s="189"/>
      <c r="BE29" s="189"/>
      <c r="BG29" s="145">
        <f>IF($K29&gt;=0,+SUM(L$9:$L29)-$B29+Feb!$AZ$39+SUM(AQ$9:$AQ29)," ")</f>
        <v>2.8421709430404007E-14</v>
      </c>
      <c r="BH29" s="144">
        <f t="shared" si="21"/>
        <v>1</v>
      </c>
      <c r="BI29" s="146">
        <f t="shared" si="22"/>
        <v>0</v>
      </c>
      <c r="BJ29" s="146">
        <f t="shared" si="23"/>
        <v>2.8421709430404007E-14</v>
      </c>
      <c r="BK29" s="146">
        <f t="shared" si="24"/>
        <v>1.7053025658242404E-14</v>
      </c>
      <c r="BL29" s="164">
        <f t="shared" si="20"/>
        <v>1.7053025658242404E-14</v>
      </c>
      <c r="BM29" s="157">
        <f t="shared" si="30"/>
        <v>9.2460000000000004</v>
      </c>
      <c r="BN29">
        <f t="shared" si="31"/>
        <v>2</v>
      </c>
    </row>
    <row r="30" spans="1:66" ht="15.95" customHeight="1" x14ac:dyDescent="0.25">
      <c r="A30" s="83"/>
      <c r="B30" s="84">
        <f>IF($I30&lt;&gt;"",IF(WEEKDAY($I30,2)&lt;6,IF(VLOOKUP(WEEKDAY($I30,2),InputUge,3)&gt;0,IF($A30="",VLOOKUP(WEEKDAY($I30,2),InputUge,3)+MAX(B$8:B29),IF($A30&lt;VLOOKUP(WEEKDAY($I30,2),InputUge,3),$A30+MAX(B$8:B29),VLOOKUP(WEEKDAY($I30,2),InputUge,3)+MAX(B$8:B29))),""),""),"")</f>
        <v>117.41999999999999</v>
      </c>
      <c r="C30" s="144">
        <f t="shared" si="0"/>
        <v>1</v>
      </c>
      <c r="D30" s="146">
        <f>FLOOR(B30,C30)</f>
        <v>117</v>
      </c>
      <c r="E30" s="146">
        <f>+B30-D30</f>
        <v>0.41999999999998749</v>
      </c>
      <c r="F30" s="146">
        <f t="shared" si="1"/>
        <v>0.25199999999999251</v>
      </c>
      <c r="G30" s="261">
        <f t="shared" si="19"/>
        <v>117.252</v>
      </c>
      <c r="H30" s="4">
        <v>22</v>
      </c>
      <c r="I30" s="16">
        <f t="shared" si="18"/>
        <v>41327</v>
      </c>
      <c r="J30" s="6">
        <v>0.34791666666666665</v>
      </c>
      <c r="K30" s="6">
        <v>0.61469907407407409</v>
      </c>
      <c r="L30" s="5">
        <f>IF(K30&gt;0,ROUND(((K30-J30)*24)-SUM(BR30:BS30)+BT30,2)+IF(Fredagsfrokost="n",IF(WEEKDAY($I30,2)=5,IF(K30&gt;=0.5,IF(K30&lt;=13/24,0,0),0),0),0),IF(AW30&gt;0,AW30,""))</f>
        <v>6.4</v>
      </c>
      <c r="M30" s="141">
        <f>FLOOR(L30,1)</f>
        <v>6</v>
      </c>
      <c r="N30" s="141">
        <f>+L30-M30</f>
        <v>0.40000000000000036</v>
      </c>
      <c r="O30" s="141">
        <f>+N30/100*60</f>
        <v>0.24000000000000021</v>
      </c>
      <c r="P30" s="162">
        <f>IF(J30="","",O30+M30)</f>
        <v>6.24</v>
      </c>
      <c r="Q30" s="591"/>
      <c r="R30" s="592"/>
      <c r="S30" s="592"/>
      <c r="T30" s="593"/>
      <c r="U30" s="417"/>
      <c r="V30" s="240">
        <f t="shared" si="26"/>
        <v>0</v>
      </c>
      <c r="W30" s="240">
        <f t="shared" si="27"/>
        <v>0</v>
      </c>
      <c r="X30" s="240">
        <f t="shared" si="28"/>
        <v>0</v>
      </c>
      <c r="Y30" s="243">
        <f t="shared" si="29"/>
        <v>0</v>
      </c>
      <c r="Z30" s="417"/>
      <c r="AA30" s="417"/>
      <c r="AB30" s="417"/>
      <c r="AC30" s="417"/>
      <c r="AD30" s="417"/>
      <c r="AE30" s="240">
        <f t="shared" si="6"/>
        <v>0</v>
      </c>
      <c r="AF30" s="240">
        <f t="shared" si="15"/>
        <v>0</v>
      </c>
      <c r="AG30" s="240">
        <f t="shared" si="7"/>
        <v>0</v>
      </c>
      <c r="AH30" s="243">
        <f t="shared" si="16"/>
        <v>0</v>
      </c>
      <c r="AI30" s="417"/>
      <c r="AJ30" s="417"/>
      <c r="AK30" s="417"/>
      <c r="AL30" s="417"/>
      <c r="AM30" s="472"/>
      <c r="AN30" s="240">
        <f t="shared" si="8"/>
        <v>0</v>
      </c>
      <c r="AO30" s="240">
        <f t="shared" si="9"/>
        <v>0</v>
      </c>
      <c r="AP30" s="240">
        <f t="shared" si="10"/>
        <v>0</v>
      </c>
      <c r="AQ30" s="242">
        <f t="shared" si="17"/>
        <v>0</v>
      </c>
      <c r="AR30" s="420"/>
      <c r="AS30" s="420"/>
      <c r="AT30" s="420"/>
      <c r="AU30" s="420"/>
      <c r="AZ30" s="189"/>
      <c r="BA30" s="189"/>
      <c r="BB30" s="189"/>
      <c r="BC30" s="189"/>
      <c r="BD30" s="189"/>
      <c r="BE30" s="189"/>
      <c r="BG30" s="145">
        <f>IF($K30&gt;=0,+SUM(L$9:$L30)-$B30+Feb!$AZ$39+SUM(AQ$9:$AQ30)," ")</f>
        <v>2.8421709430404007E-14</v>
      </c>
      <c r="BH30" s="144">
        <f t="shared" si="21"/>
        <v>1</v>
      </c>
      <c r="BI30" s="146">
        <f t="shared" si="22"/>
        <v>0</v>
      </c>
      <c r="BJ30" s="146">
        <f t="shared" si="23"/>
        <v>2.8421709430404007E-14</v>
      </c>
      <c r="BK30" s="146">
        <f t="shared" si="24"/>
        <v>1.7053025658242404E-14</v>
      </c>
      <c r="BL30" s="164">
        <f t="shared" si="20"/>
        <v>1.7053025658242404E-14</v>
      </c>
      <c r="BM30" s="157">
        <f t="shared" si="30"/>
        <v>6.24</v>
      </c>
      <c r="BN30">
        <f t="shared" si="31"/>
        <v>2</v>
      </c>
    </row>
    <row r="31" spans="1:66" ht="15.95" customHeight="1" x14ac:dyDescent="0.25">
      <c r="A31" s="83"/>
      <c r="B31" s="84" t="str">
        <f>IF($I31&lt;&gt;"",IF(WEEKDAY($I31,2)&lt;6,IF(VLOOKUP(WEEKDAY($I31,2),InputUge,3)&gt;0,IF($A31="",VLOOKUP(WEEKDAY($I31,2),InputUge,3)+MAX(B$8:B30),IF($A31&lt;VLOOKUP(WEEKDAY($I31,2),InputUge,3),$A31+MAX(B$8:B30),VLOOKUP(WEEKDAY($I31,2),InputUge,3)+MAX(B$8:B30))),""),""),"")</f>
        <v/>
      </c>
      <c r="C31" s="144">
        <f t="shared" si="0"/>
        <v>1</v>
      </c>
      <c r="D31" s="146" t="e">
        <f t="shared" si="13"/>
        <v>#VALUE!</v>
      </c>
      <c r="E31" s="146" t="e">
        <f t="shared" si="14"/>
        <v>#VALUE!</v>
      </c>
      <c r="F31" s="146" t="e">
        <f t="shared" si="1"/>
        <v>#VALUE!</v>
      </c>
      <c r="G31" s="261"/>
      <c r="H31" s="4">
        <v>23</v>
      </c>
      <c r="I31" s="16">
        <f t="shared" si="18"/>
        <v>41328</v>
      </c>
      <c r="J31" s="6"/>
      <c r="K31" s="6"/>
      <c r="L31" s="5"/>
      <c r="M31" s="141"/>
      <c r="N31" s="141"/>
      <c r="O31" s="141"/>
      <c r="P31" s="162"/>
      <c r="Q31" s="591"/>
      <c r="R31" s="592"/>
      <c r="S31" s="592"/>
      <c r="T31" s="593"/>
      <c r="U31" s="417"/>
      <c r="V31" s="240">
        <f t="shared" si="26"/>
        <v>0</v>
      </c>
      <c r="W31" s="240">
        <f t="shared" si="27"/>
        <v>0</v>
      </c>
      <c r="X31" s="240">
        <f t="shared" si="28"/>
        <v>0</v>
      </c>
      <c r="Y31" s="243">
        <f t="shared" si="29"/>
        <v>0</v>
      </c>
      <c r="Z31" s="417"/>
      <c r="AA31" s="417"/>
      <c r="AB31" s="417"/>
      <c r="AC31" s="417"/>
      <c r="AD31" s="417"/>
      <c r="AE31" s="240">
        <f t="shared" si="6"/>
        <v>0</v>
      </c>
      <c r="AF31" s="240">
        <f t="shared" si="15"/>
        <v>0</v>
      </c>
      <c r="AG31" s="240">
        <f t="shared" si="7"/>
        <v>0</v>
      </c>
      <c r="AH31" s="243">
        <f t="shared" si="16"/>
        <v>0</v>
      </c>
      <c r="AI31" s="417"/>
      <c r="AJ31" s="417"/>
      <c r="AK31" s="417"/>
      <c r="AL31" s="417"/>
      <c r="AM31" s="472"/>
      <c r="AN31" s="240">
        <f t="shared" si="8"/>
        <v>0</v>
      </c>
      <c r="AO31" s="240">
        <f t="shared" si="9"/>
        <v>0</v>
      </c>
      <c r="AP31" s="240">
        <f t="shared" si="10"/>
        <v>0</v>
      </c>
      <c r="AQ31" s="242">
        <f t="shared" si="17"/>
        <v>0</v>
      </c>
      <c r="AR31" s="420"/>
      <c r="AS31" s="420"/>
      <c r="AT31" s="420"/>
      <c r="AU31" s="420"/>
      <c r="AZ31" s="189"/>
      <c r="BA31" s="189"/>
      <c r="BB31" s="189"/>
      <c r="BC31" s="189"/>
      <c r="BD31" s="189"/>
      <c r="BE31" s="189"/>
      <c r="BG31" s="145" t="e">
        <f>IF($K31&gt;=0,+SUM(L$9:$L31)-$B31+Feb!$AZ$39+SUM(AQ$9:$AQ31)," ")</f>
        <v>#VALUE!</v>
      </c>
      <c r="BH31" s="144" t="e">
        <f t="shared" si="21"/>
        <v>#VALUE!</v>
      </c>
      <c r="BI31" s="146" t="e">
        <f t="shared" si="22"/>
        <v>#VALUE!</v>
      </c>
      <c r="BJ31" s="146" t="e">
        <f t="shared" si="23"/>
        <v>#VALUE!</v>
      </c>
      <c r="BK31" s="146" t="e">
        <f t="shared" si="24"/>
        <v>#VALUE!</v>
      </c>
      <c r="BL31" s="164"/>
      <c r="BM31" s="157">
        <f t="shared" si="30"/>
        <v>0</v>
      </c>
      <c r="BN31">
        <f t="shared" si="31"/>
        <v>2</v>
      </c>
    </row>
    <row r="32" spans="1:66" ht="15.95" customHeight="1" x14ac:dyDescent="0.25">
      <c r="A32" s="83"/>
      <c r="B32" s="84" t="str">
        <f>IF($I32&lt;&gt;"",IF(WEEKDAY($I32,2)&lt;6,IF(VLOOKUP(WEEKDAY($I32,2),InputUge,3)&gt;0,IF($A32="",VLOOKUP(WEEKDAY($I32,2),InputUge,3)+MAX(B$8:B31),IF($A32&lt;VLOOKUP(WEEKDAY($I32,2),InputUge,3),$A32+MAX(B$8:B31),VLOOKUP(WEEKDAY($I32,2),InputUge,3)+MAX(B$8:B31))),""),""),"")</f>
        <v/>
      </c>
      <c r="C32" s="144">
        <f t="shared" si="0"/>
        <v>1</v>
      </c>
      <c r="D32" s="146" t="e">
        <f t="shared" si="13"/>
        <v>#VALUE!</v>
      </c>
      <c r="E32" s="146" t="e">
        <f t="shared" si="14"/>
        <v>#VALUE!</v>
      </c>
      <c r="F32" s="146" t="e">
        <f t="shared" si="1"/>
        <v>#VALUE!</v>
      </c>
      <c r="G32" s="261"/>
      <c r="H32" s="4">
        <v>24</v>
      </c>
      <c r="I32" s="16">
        <f t="shared" si="18"/>
        <v>41329</v>
      </c>
      <c r="J32" s="6"/>
      <c r="K32" s="6"/>
      <c r="L32" s="5"/>
      <c r="M32" s="141"/>
      <c r="N32" s="141"/>
      <c r="O32" s="141"/>
      <c r="P32" s="162"/>
      <c r="Q32" s="591"/>
      <c r="R32" s="592"/>
      <c r="S32" s="592"/>
      <c r="T32" s="593"/>
      <c r="U32" s="417"/>
      <c r="V32" s="240">
        <f t="shared" si="26"/>
        <v>0</v>
      </c>
      <c r="W32" s="240">
        <f t="shared" si="27"/>
        <v>0</v>
      </c>
      <c r="X32" s="240">
        <f t="shared" si="28"/>
        <v>0</v>
      </c>
      <c r="Y32" s="243">
        <f t="shared" si="29"/>
        <v>0</v>
      </c>
      <c r="Z32" s="417"/>
      <c r="AA32" s="417"/>
      <c r="AB32" s="417"/>
      <c r="AC32" s="417"/>
      <c r="AD32" s="417"/>
      <c r="AE32" s="240">
        <f t="shared" si="6"/>
        <v>0</v>
      </c>
      <c r="AF32" s="240">
        <f t="shared" si="15"/>
        <v>0</v>
      </c>
      <c r="AG32" s="240">
        <f t="shared" si="7"/>
        <v>0</v>
      </c>
      <c r="AH32" s="243">
        <f t="shared" si="16"/>
        <v>0</v>
      </c>
      <c r="AI32" s="417"/>
      <c r="AJ32" s="417"/>
      <c r="AK32" s="417"/>
      <c r="AL32" s="417"/>
      <c r="AM32" s="472"/>
      <c r="AN32" s="240">
        <f t="shared" si="8"/>
        <v>0</v>
      </c>
      <c r="AO32" s="240">
        <f t="shared" si="9"/>
        <v>0</v>
      </c>
      <c r="AP32" s="240">
        <f t="shared" si="10"/>
        <v>0</v>
      </c>
      <c r="AQ32" s="242">
        <f t="shared" si="17"/>
        <v>0</v>
      </c>
      <c r="AR32" s="420"/>
      <c r="AS32" s="420"/>
      <c r="AT32" s="420"/>
      <c r="AU32" s="420"/>
      <c r="AZ32" s="189"/>
      <c r="BA32" s="189"/>
      <c r="BB32" s="189"/>
      <c r="BC32" s="189"/>
      <c r="BD32" s="189"/>
      <c r="BE32" s="189"/>
      <c r="BG32" s="145" t="e">
        <f>IF($K32&gt;=0,+SUM(L$9:$L32)-$B32+Feb!$AZ$39+SUM(AQ$9:$AQ32)," ")</f>
        <v>#VALUE!</v>
      </c>
      <c r="BH32" s="144" t="e">
        <f t="shared" si="21"/>
        <v>#VALUE!</v>
      </c>
      <c r="BI32" s="146" t="e">
        <f t="shared" si="22"/>
        <v>#VALUE!</v>
      </c>
      <c r="BJ32" s="146" t="e">
        <f t="shared" si="23"/>
        <v>#VALUE!</v>
      </c>
      <c r="BK32" s="146" t="e">
        <f t="shared" si="24"/>
        <v>#VALUE!</v>
      </c>
      <c r="BL32" s="164"/>
      <c r="BM32" s="157">
        <f t="shared" si="30"/>
        <v>0</v>
      </c>
      <c r="BN32">
        <f t="shared" si="31"/>
        <v>2</v>
      </c>
    </row>
    <row r="33" spans="1:67" ht="15.95" customHeight="1" x14ac:dyDescent="0.25">
      <c r="A33" s="83"/>
      <c r="B33" s="84">
        <f>IF($I33&lt;&gt;"",IF(WEEKDAY($I33,2)&lt;6,IF(VLOOKUP(WEEKDAY($I33,2),InputUge,3)&gt;0,IF($A33="",VLOOKUP(WEEKDAY($I33,2),InputUge,3)+MAX(B$8:B32),IF($A33&lt;VLOOKUP(WEEKDAY($I33,2),InputUge,3),$A33+MAX(B$8:B32),VLOOKUP(WEEKDAY($I33,2),InputUge,3)+MAX(B$8:B32))),""),""),"")</f>
        <v>124.48333333333332</v>
      </c>
      <c r="C33" s="144">
        <f t="shared" si="0"/>
        <v>1</v>
      </c>
      <c r="D33" s="146">
        <f t="shared" si="13"/>
        <v>124</v>
      </c>
      <c r="E33" s="146">
        <f t="shared" si="14"/>
        <v>0.48333333333332007</v>
      </c>
      <c r="F33" s="146">
        <f t="shared" si="1"/>
        <v>0.28999999999999204</v>
      </c>
      <c r="G33" s="261">
        <f t="shared" si="19"/>
        <v>124.28999999999999</v>
      </c>
      <c r="H33" s="4">
        <v>25</v>
      </c>
      <c r="I33" s="16">
        <f t="shared" si="18"/>
        <v>41330</v>
      </c>
      <c r="J33" s="6">
        <v>0.34791666666666665</v>
      </c>
      <c r="K33" s="6">
        <v>0.64236111111111105</v>
      </c>
      <c r="L33" s="5">
        <f>IF(K33&gt;0,ROUND(((K33-J33)*24)-SUM(BR33:BS33)+BT33,2)+IF(Fredagsfrokost="n",IF(WEEKDAY($I33,2)=5,IF(K33&gt;=0.5,IF(K33&lt;=13/24,0,0),0),0),0),IF(AW33&gt;0,AW33,""))</f>
        <v>7.07</v>
      </c>
      <c r="M33" s="141">
        <f>FLOOR(L33,1)</f>
        <v>7</v>
      </c>
      <c r="N33" s="141">
        <f>+L33-M33</f>
        <v>7.0000000000000284E-2</v>
      </c>
      <c r="O33" s="141">
        <f>+N33/100*60</f>
        <v>4.2000000000000169E-2</v>
      </c>
      <c r="P33" s="162">
        <f>IF(J33="","",O33+M33)</f>
        <v>7.0419999999999998</v>
      </c>
      <c r="Q33" s="591"/>
      <c r="R33" s="592"/>
      <c r="S33" s="592"/>
      <c r="T33" s="593"/>
      <c r="U33" s="417"/>
      <c r="V33" s="240">
        <f t="shared" si="26"/>
        <v>0</v>
      </c>
      <c r="W33" s="240">
        <f t="shared" si="27"/>
        <v>0</v>
      </c>
      <c r="X33" s="240">
        <f t="shared" si="28"/>
        <v>0</v>
      </c>
      <c r="Y33" s="243">
        <f t="shared" si="29"/>
        <v>0</v>
      </c>
      <c r="Z33" s="417"/>
      <c r="AA33" s="417"/>
      <c r="AB33" s="417"/>
      <c r="AC33" s="417"/>
      <c r="AD33" s="417"/>
      <c r="AE33" s="240">
        <f t="shared" si="6"/>
        <v>0</v>
      </c>
      <c r="AF33" s="240">
        <f t="shared" si="15"/>
        <v>0</v>
      </c>
      <c r="AG33" s="240">
        <f t="shared" si="7"/>
        <v>0</v>
      </c>
      <c r="AH33" s="243">
        <f t="shared" si="16"/>
        <v>0</v>
      </c>
      <c r="AI33" s="417"/>
      <c r="AJ33" s="417"/>
      <c r="AK33" s="417"/>
      <c r="AL33" s="417"/>
      <c r="AM33" s="472"/>
      <c r="AN33" s="240">
        <f t="shared" si="8"/>
        <v>0</v>
      </c>
      <c r="AO33" s="240">
        <f t="shared" si="9"/>
        <v>0</v>
      </c>
      <c r="AP33" s="240">
        <f t="shared" si="10"/>
        <v>0</v>
      </c>
      <c r="AQ33" s="242">
        <f t="shared" si="17"/>
        <v>0</v>
      </c>
      <c r="AR33" s="420"/>
      <c r="AS33" s="420"/>
      <c r="AT33" s="420"/>
      <c r="AU33" s="420"/>
      <c r="AZ33" s="189"/>
      <c r="BA33" s="189"/>
      <c r="BB33" s="189"/>
      <c r="BC33" s="189"/>
      <c r="BD33" s="189"/>
      <c r="BE33" s="189"/>
      <c r="BG33" s="145">
        <f>IF($K33&gt;=0,+SUM(L$9:$L33)-$B33+Feb!$AZ$39+SUM(AQ$9:$AQ33)," ")</f>
        <v>6.6666666666890251E-3</v>
      </c>
      <c r="BH33" s="144">
        <f t="shared" si="21"/>
        <v>1</v>
      </c>
      <c r="BI33" s="146">
        <f t="shared" si="22"/>
        <v>0</v>
      </c>
      <c r="BJ33" s="146">
        <f t="shared" si="23"/>
        <v>6.6666666666890251E-3</v>
      </c>
      <c r="BK33" s="146">
        <f t="shared" si="24"/>
        <v>4.0000000000134147E-3</v>
      </c>
      <c r="BL33" s="164">
        <f t="shared" si="20"/>
        <v>4.0000000000134147E-3</v>
      </c>
      <c r="BM33" s="157">
        <f t="shared" si="30"/>
        <v>7.0419999999999998</v>
      </c>
      <c r="BN33">
        <f t="shared" si="31"/>
        <v>2</v>
      </c>
    </row>
    <row r="34" spans="1:67" ht="15.95" customHeight="1" x14ac:dyDescent="0.25">
      <c r="A34" s="83"/>
      <c r="B34" s="84">
        <f>IF($I34&lt;&gt;"",IF(WEEKDAY($I34,2)&lt;6,IF(VLOOKUP(WEEKDAY($I34,2),InputUge,3)&gt;0,IF($A34="",VLOOKUP(WEEKDAY($I34,2),InputUge,3)+MAX(B$8:B33),IF($A34&lt;VLOOKUP(WEEKDAY($I34,2),InputUge,3),$A34+MAX(B$8:B33),VLOOKUP(WEEKDAY($I34,2),InputUge,3)+MAX(B$8:B33))),""),""),"")</f>
        <v>131.54999999999998</v>
      </c>
      <c r="C34" s="144">
        <f t="shared" si="0"/>
        <v>1</v>
      </c>
      <c r="D34" s="146">
        <f t="shared" si="13"/>
        <v>131</v>
      </c>
      <c r="E34" s="146">
        <f t="shared" si="14"/>
        <v>0.54999999999998295</v>
      </c>
      <c r="F34" s="146">
        <f t="shared" si="1"/>
        <v>0.3299999999999898</v>
      </c>
      <c r="G34" s="261">
        <f t="shared" si="19"/>
        <v>131.32999999999998</v>
      </c>
      <c r="H34" s="4">
        <v>26</v>
      </c>
      <c r="I34" s="16">
        <f t="shared" si="18"/>
        <v>41331</v>
      </c>
      <c r="J34" s="6">
        <v>0.34814814814814815</v>
      </c>
      <c r="K34" s="6">
        <v>0.64236111111111105</v>
      </c>
      <c r="L34" s="5">
        <f>IF(K34&gt;0,ROUND(((K34-J34)*24)-SUM(BR34:BS34)+BT34,2)+IF(Fredagsfrokost="n",IF(WEEKDAY($I34,2)=5,IF(K34&gt;=0.5,IF(K34&lt;=13/24,0,0),0),0),0),IF(AW34&gt;0,AW34,""))</f>
        <v>7.06</v>
      </c>
      <c r="M34" s="141">
        <f>FLOOR(L34,1)</f>
        <v>7</v>
      </c>
      <c r="N34" s="141">
        <f>+L34-M34</f>
        <v>5.9999999999999609E-2</v>
      </c>
      <c r="O34" s="141">
        <f>+N34/100*60</f>
        <v>3.5999999999999761E-2</v>
      </c>
      <c r="P34" s="162">
        <f>IF(J34="","",O34+M34)</f>
        <v>7.0359999999999996</v>
      </c>
      <c r="Q34" s="591"/>
      <c r="R34" s="592"/>
      <c r="S34" s="592"/>
      <c r="T34" s="593"/>
      <c r="U34" s="417"/>
      <c r="V34" s="240">
        <f t="shared" si="26"/>
        <v>0</v>
      </c>
      <c r="W34" s="240">
        <f t="shared" si="27"/>
        <v>0</v>
      </c>
      <c r="X34" s="240">
        <f t="shared" si="28"/>
        <v>0</v>
      </c>
      <c r="Y34" s="243">
        <f t="shared" si="29"/>
        <v>0</v>
      </c>
      <c r="Z34" s="417"/>
      <c r="AA34" s="417"/>
      <c r="AB34" s="417"/>
      <c r="AC34" s="417"/>
      <c r="AD34" s="417"/>
      <c r="AE34" s="240">
        <f t="shared" si="6"/>
        <v>0</v>
      </c>
      <c r="AF34" s="240">
        <f t="shared" si="15"/>
        <v>0</v>
      </c>
      <c r="AG34" s="240">
        <f t="shared" si="7"/>
        <v>0</v>
      </c>
      <c r="AH34" s="243">
        <f t="shared" si="16"/>
        <v>0</v>
      </c>
      <c r="AI34" s="417"/>
      <c r="AJ34" s="417"/>
      <c r="AK34" s="417"/>
      <c r="AL34" s="417"/>
      <c r="AM34" s="472"/>
      <c r="AN34" s="240">
        <f t="shared" si="8"/>
        <v>0</v>
      </c>
      <c r="AO34" s="240">
        <f t="shared" si="9"/>
        <v>0</v>
      </c>
      <c r="AP34" s="240">
        <f t="shared" si="10"/>
        <v>0</v>
      </c>
      <c r="AQ34" s="242">
        <f t="shared" si="17"/>
        <v>0</v>
      </c>
      <c r="AR34" s="420"/>
      <c r="AS34" s="420"/>
      <c r="AT34" s="420"/>
      <c r="AU34" s="420"/>
      <c r="AZ34" s="189"/>
      <c r="BA34" s="189"/>
      <c r="BB34" s="189"/>
      <c r="BC34" s="189"/>
      <c r="BD34" s="189"/>
      <c r="BE34" s="189"/>
      <c r="BG34" s="145">
        <f>IF($K34&gt;=0,+SUM(L$9:$L34)-$B34+Feb!$AZ$39+SUM(AQ$9:$AQ34)," ")</f>
        <v>2.8421709430404007E-14</v>
      </c>
      <c r="BH34" s="144">
        <f t="shared" si="21"/>
        <v>1</v>
      </c>
      <c r="BI34" s="146">
        <f t="shared" si="22"/>
        <v>0</v>
      </c>
      <c r="BJ34" s="146">
        <f t="shared" si="23"/>
        <v>2.8421709430404007E-14</v>
      </c>
      <c r="BK34" s="146">
        <f t="shared" si="24"/>
        <v>1.7053025658242404E-14</v>
      </c>
      <c r="BL34" s="164">
        <f t="shared" si="20"/>
        <v>1.7053025658242404E-14</v>
      </c>
      <c r="BM34" s="157">
        <f>+P34</f>
        <v>7.0359999999999996</v>
      </c>
      <c r="BN34">
        <f t="shared" si="31"/>
        <v>2</v>
      </c>
    </row>
    <row r="35" spans="1:67" ht="15.95" customHeight="1" x14ac:dyDescent="0.25">
      <c r="A35" s="83"/>
      <c r="B35" s="84">
        <f>IF($I35&lt;&gt;"",IF(WEEKDAY($I35,2)&lt;6,IF(VLOOKUP(WEEKDAY($I35,2),InputUge,3)&gt;0,IF($A35="",VLOOKUP(WEEKDAY($I35,2),InputUge,3)+MAX(B$8:B34),IF($A35&lt;VLOOKUP(WEEKDAY($I35,2),InputUge,3),$A35+MAX(B$8:B34),VLOOKUP(WEEKDAY($I35,2),InputUge,3)+MAX(B$8:B34))),""),""),"")</f>
        <v>138.61666666666665</v>
      </c>
      <c r="C35" s="144">
        <f t="shared" si="0"/>
        <v>1</v>
      </c>
      <c r="D35" s="146">
        <f>FLOOR(B35,C35)</f>
        <v>138</v>
      </c>
      <c r="E35" s="146">
        <f>+B35-D35</f>
        <v>0.61666666666664582</v>
      </c>
      <c r="F35" s="146">
        <f t="shared" si="1"/>
        <v>0.36999999999998751</v>
      </c>
      <c r="G35" s="261">
        <f t="shared" si="19"/>
        <v>138.36999999999998</v>
      </c>
      <c r="H35" s="4">
        <v>27</v>
      </c>
      <c r="I35" s="16">
        <f t="shared" si="18"/>
        <v>41332</v>
      </c>
      <c r="J35" s="6">
        <v>0.34791666666666665</v>
      </c>
      <c r="K35" s="6">
        <v>0.64247685185185188</v>
      </c>
      <c r="L35" s="5">
        <f>IF(K35&gt;0,ROUND(((K35-J35)*24)-SUM(BR35:BS35)+BT35,2)+IF(Fredagsfrokost="n",IF(WEEKDAY($I35,2)=5,IF(K35&gt;=0.5,IF(K35&lt;=13/24,0,0),0),0),0),IF(AW35&gt;0,AW35,""))</f>
        <v>7.07</v>
      </c>
      <c r="M35" s="141">
        <f>FLOOR(L35,1)</f>
        <v>7</v>
      </c>
      <c r="N35" s="141">
        <f>+L35-M35</f>
        <v>7.0000000000000284E-2</v>
      </c>
      <c r="O35" s="141">
        <f>+N35/100*60</f>
        <v>4.2000000000000169E-2</v>
      </c>
      <c r="P35" s="162">
        <f>IF(J35="","",O35+M35)</f>
        <v>7.0419999999999998</v>
      </c>
      <c r="Q35" s="591"/>
      <c r="R35" s="592"/>
      <c r="S35" s="592"/>
      <c r="T35" s="593"/>
      <c r="U35" s="417"/>
      <c r="V35" s="240">
        <f t="shared" si="26"/>
        <v>0</v>
      </c>
      <c r="W35" s="240">
        <f t="shared" si="27"/>
        <v>0</v>
      </c>
      <c r="X35" s="240">
        <f t="shared" si="28"/>
        <v>0</v>
      </c>
      <c r="Y35" s="243">
        <f t="shared" si="29"/>
        <v>0</v>
      </c>
      <c r="Z35" s="417"/>
      <c r="AA35" s="417"/>
      <c r="AB35" s="417"/>
      <c r="AC35" s="417"/>
      <c r="AD35" s="417"/>
      <c r="AE35" s="240">
        <f t="shared" si="6"/>
        <v>0</v>
      </c>
      <c r="AF35" s="240">
        <f t="shared" si="15"/>
        <v>0</v>
      </c>
      <c r="AG35" s="240">
        <f t="shared" si="7"/>
        <v>0</v>
      </c>
      <c r="AH35" s="243">
        <f t="shared" si="16"/>
        <v>0</v>
      </c>
      <c r="AI35" s="417"/>
      <c r="AJ35" s="417"/>
      <c r="AK35" s="417"/>
      <c r="AL35" s="417"/>
      <c r="AM35" s="472"/>
      <c r="AN35" s="240">
        <f t="shared" si="8"/>
        <v>0</v>
      </c>
      <c r="AO35" s="240">
        <f t="shared" si="9"/>
        <v>0</v>
      </c>
      <c r="AP35" s="240">
        <f t="shared" si="10"/>
        <v>0</v>
      </c>
      <c r="AQ35" s="242">
        <f t="shared" si="17"/>
        <v>0</v>
      </c>
      <c r="AR35" s="420"/>
      <c r="AS35" s="420"/>
      <c r="AT35" s="420"/>
      <c r="AU35" s="420"/>
      <c r="AZ35" s="189"/>
      <c r="BA35" s="189"/>
      <c r="BB35" s="189"/>
      <c r="BC35" s="189"/>
      <c r="BD35" s="189"/>
      <c r="BE35" s="189"/>
      <c r="BG35" s="145">
        <f>IF($K35&gt;=0,+SUM(L$9:$L35)-$B35+Feb!$AZ$39+SUM(AQ$9:$AQ35)," ")</f>
        <v>3.3333333333587234E-3</v>
      </c>
      <c r="BH35" s="144">
        <f t="shared" si="21"/>
        <v>1</v>
      </c>
      <c r="BI35" s="146">
        <f t="shared" si="22"/>
        <v>0</v>
      </c>
      <c r="BJ35" s="146">
        <f t="shared" si="23"/>
        <v>3.3333333333587234E-3</v>
      </c>
      <c r="BK35" s="146">
        <f t="shared" si="24"/>
        <v>2.0000000000152339E-3</v>
      </c>
      <c r="BL35" s="164">
        <f>IF(BN35=2,+BK35+BI35,"")</f>
        <v>2.0000000000152339E-3</v>
      </c>
      <c r="BM35" s="157">
        <f>+P35</f>
        <v>7.0419999999999998</v>
      </c>
      <c r="BN35">
        <f t="shared" si="31"/>
        <v>2</v>
      </c>
    </row>
    <row r="36" spans="1:67" ht="15.95" customHeight="1" x14ac:dyDescent="0.25">
      <c r="A36" s="83"/>
      <c r="B36" s="84">
        <f>IF($I36&lt;&gt;"",IF(WEEKDAY($I36,2)&lt;6,IF(VLOOKUP(WEEKDAY($I36,2),InputUge,3)&gt;0,IF($A36="",VLOOKUP(WEEKDAY($I36,2),InputUge,3)+MAX(B$8:B35),IF($A36&lt;VLOOKUP(WEEKDAY($I36,2),InputUge,3),$A36+MAX(B$8:B35),VLOOKUP(WEEKDAY($I36,2),InputUge,3)+MAX(B$8:B35))),""),""),"")</f>
        <v>148.02666666666664</v>
      </c>
      <c r="C36" s="144">
        <f t="shared" si="0"/>
        <v>1</v>
      </c>
      <c r="D36" s="146">
        <f>FLOOR(B36,C36)</f>
        <v>148</v>
      </c>
      <c r="E36" s="146">
        <f>+B36-D36</f>
        <v>2.6666666666642413E-2</v>
      </c>
      <c r="F36" s="146">
        <f t="shared" si="1"/>
        <v>1.5999999999985449E-2</v>
      </c>
      <c r="G36" s="261">
        <f t="shared" si="19"/>
        <v>148.01599999999999</v>
      </c>
      <c r="H36" s="4">
        <v>28</v>
      </c>
      <c r="I36" s="16">
        <f t="shared" si="18"/>
        <v>41333</v>
      </c>
      <c r="J36" s="6">
        <v>0.34791666666666665</v>
      </c>
      <c r="K36" s="6">
        <v>0.7397569444444444</v>
      </c>
      <c r="L36" s="5">
        <f>IF(K36&gt;0,ROUND(((K36-J36)*24)-SUM(BR36:BS36)+BT36,2)+IF(Fredagsfrokost="n",IF(WEEKDAY($I36,2)=5,IF(K36&gt;=0.5,IF(K36&lt;=13/24,0,0),0),0),0),IF(AW36&gt;0,AW36,""))</f>
        <v>9.4</v>
      </c>
      <c r="M36" s="141">
        <f>FLOOR(L36,1)</f>
        <v>9</v>
      </c>
      <c r="N36" s="141">
        <f>+L36-M36</f>
        <v>0.40000000000000036</v>
      </c>
      <c r="O36" s="141">
        <f>+N36/100*60</f>
        <v>0.24000000000000021</v>
      </c>
      <c r="P36" s="241">
        <f>IF(J36="","",O36+M36)</f>
        <v>9.24</v>
      </c>
      <c r="Q36" s="591"/>
      <c r="R36" s="592"/>
      <c r="S36" s="592"/>
      <c r="T36" s="593"/>
      <c r="U36" s="417"/>
      <c r="V36" s="240">
        <f t="shared" si="26"/>
        <v>0</v>
      </c>
      <c r="W36" s="240">
        <f t="shared" si="27"/>
        <v>0</v>
      </c>
      <c r="X36" s="240">
        <f t="shared" si="28"/>
        <v>0</v>
      </c>
      <c r="Y36" s="243">
        <f t="shared" si="29"/>
        <v>0</v>
      </c>
      <c r="Z36" s="417"/>
      <c r="AA36" s="417"/>
      <c r="AB36" s="417"/>
      <c r="AC36" s="417"/>
      <c r="AD36" s="417"/>
      <c r="AE36" s="240">
        <f t="shared" si="6"/>
        <v>0</v>
      </c>
      <c r="AF36" s="240">
        <f t="shared" si="15"/>
        <v>0</v>
      </c>
      <c r="AG36" s="240">
        <f t="shared" si="7"/>
        <v>0</v>
      </c>
      <c r="AH36" s="243">
        <f t="shared" si="16"/>
        <v>0</v>
      </c>
      <c r="AI36" s="417"/>
      <c r="AJ36" s="417"/>
      <c r="AK36" s="417"/>
      <c r="AL36" s="417"/>
      <c r="AM36" s="472"/>
      <c r="AN36" s="240">
        <f t="shared" si="8"/>
        <v>0</v>
      </c>
      <c r="AO36" s="240">
        <f t="shared" si="9"/>
        <v>0</v>
      </c>
      <c r="AP36" s="240">
        <f t="shared" si="10"/>
        <v>0</v>
      </c>
      <c r="AQ36" s="242">
        <f t="shared" si="17"/>
        <v>0</v>
      </c>
      <c r="AR36" s="420"/>
      <c r="AS36" s="420"/>
      <c r="AT36" s="420"/>
      <c r="AU36" s="420"/>
      <c r="AZ36" s="189"/>
      <c r="BA36" s="189"/>
      <c r="BB36" s="189"/>
      <c r="BC36" s="189"/>
      <c r="BD36" s="189"/>
      <c r="BE36" s="189"/>
      <c r="BG36" s="145">
        <f>IF($K36&gt;=0,+SUM(L$9:$L36)-$B36+Feb!$AZ$39+SUM(AQ$9:$AQ36)," ")+0.01</f>
        <v>3.3333333333678185E-3</v>
      </c>
      <c r="BH36" s="144">
        <f t="shared" si="21"/>
        <v>1</v>
      </c>
      <c r="BI36" s="146">
        <f>FLOOR(BG36,BH36)</f>
        <v>0</v>
      </c>
      <c r="BJ36" s="146">
        <f>+BG36-BI36</f>
        <v>3.3333333333678185E-3</v>
      </c>
      <c r="BK36" s="146">
        <f t="shared" si="24"/>
        <v>2.000000000020691E-3</v>
      </c>
      <c r="BL36" s="164">
        <f t="shared" si="20"/>
        <v>2.000000000020691E-3</v>
      </c>
      <c r="BM36" s="157">
        <f t="shared" si="30"/>
        <v>9.24</v>
      </c>
      <c r="BN36">
        <f t="shared" si="31"/>
        <v>2</v>
      </c>
    </row>
    <row r="37" spans="1:67" ht="15.95" customHeight="1" thickBot="1" x14ac:dyDescent="0.3">
      <c r="A37" s="85"/>
      <c r="B37" s="86" t="str">
        <f>IF($I37&lt;&gt;"",IF(WEEKDAY($I37,2)&lt;6,IF(VLOOKUP(WEEKDAY($I37,2),InputUge,3)&gt;0,IF($A37="",VLOOKUP(WEEKDAY($I37,2),InputUge,3)+MAX(B$8:B36),IF($A37&lt;VLOOKUP(WEEKDAY($I37,2),InputUge,3),$A37+MAX(B$8:B36),VLOOKUP(WEEKDAY($I37,2),InputUge,3)+MAX(B$8:B36))),""),""),"")</f>
        <v/>
      </c>
      <c r="C37" s="144">
        <f t="shared" si="0"/>
        <v>1</v>
      </c>
      <c r="D37" s="146" t="e">
        <f>FLOOR(B37,C37)</f>
        <v>#VALUE!</v>
      </c>
      <c r="E37" s="146" t="e">
        <f>+B37-D37</f>
        <v>#VALUE!</v>
      </c>
      <c r="F37" s="146" t="e">
        <f t="shared" si="1"/>
        <v>#VALUE!</v>
      </c>
      <c r="G37" s="261"/>
      <c r="H37" s="4" t="str">
        <f>IF(I37&lt;&gt;"","29","")</f>
        <v/>
      </c>
      <c r="I37" s="16" t="str">
        <f>IF(MONTH(+I36+1)=2,+I36+1,"")</f>
        <v/>
      </c>
      <c r="J37" s="6"/>
      <c r="K37" s="6"/>
      <c r="L37" s="5"/>
      <c r="M37" s="141"/>
      <c r="N37" s="141"/>
      <c r="O37" s="141"/>
      <c r="P37" s="162"/>
      <c r="Q37" s="591"/>
      <c r="R37" s="592"/>
      <c r="S37" s="592"/>
      <c r="T37" s="593"/>
      <c r="U37" s="417"/>
      <c r="V37" s="240">
        <f t="shared" si="26"/>
        <v>0</v>
      </c>
      <c r="W37" s="240">
        <f t="shared" si="27"/>
        <v>0</v>
      </c>
      <c r="X37" s="240">
        <f t="shared" si="28"/>
        <v>0</v>
      </c>
      <c r="Y37" s="243">
        <f t="shared" si="29"/>
        <v>0</v>
      </c>
      <c r="Z37" s="417"/>
      <c r="AA37" s="417"/>
      <c r="AB37" s="417"/>
      <c r="AC37" s="417"/>
      <c r="AD37" s="417"/>
      <c r="AE37" s="240">
        <f t="shared" si="6"/>
        <v>0</v>
      </c>
      <c r="AF37" s="240">
        <f t="shared" si="15"/>
        <v>0</v>
      </c>
      <c r="AG37" s="240">
        <f t="shared" si="7"/>
        <v>0</v>
      </c>
      <c r="AH37" s="243">
        <f t="shared" si="16"/>
        <v>0</v>
      </c>
      <c r="AI37" s="417"/>
      <c r="AJ37" s="417"/>
      <c r="AK37" s="417"/>
      <c r="AL37" s="417"/>
      <c r="AM37" s="472"/>
      <c r="AN37" s="240">
        <f t="shared" si="8"/>
        <v>0</v>
      </c>
      <c r="AO37" s="240">
        <f t="shared" si="9"/>
        <v>0</v>
      </c>
      <c r="AP37" s="240">
        <f t="shared" si="10"/>
        <v>0</v>
      </c>
      <c r="AQ37" s="242">
        <f t="shared" si="17"/>
        <v>0</v>
      </c>
      <c r="AR37" s="420"/>
      <c r="AS37" s="420"/>
      <c r="AT37" s="420"/>
      <c r="AU37" s="420"/>
      <c r="AZ37" s="189"/>
      <c r="BA37" s="189"/>
      <c r="BB37" s="189"/>
      <c r="BC37" s="189"/>
      <c r="BD37" s="189"/>
      <c r="BE37" s="189"/>
      <c r="BG37" s="145" t="e">
        <f>IF($K37&gt;=0,+SUM(L$9:$L37)-$B37+Feb!$AZ$39+SUM(AQ$9:$AQ37)," ")</f>
        <v>#VALUE!</v>
      </c>
      <c r="BH37" s="144" t="e">
        <f t="shared" si="21"/>
        <v>#VALUE!</v>
      </c>
      <c r="BI37" s="146" t="e">
        <f>FLOOR(BG37,BH37)</f>
        <v>#VALUE!</v>
      </c>
      <c r="BJ37" s="146" t="e">
        <f>+BG37-BI37</f>
        <v>#VALUE!</v>
      </c>
      <c r="BK37" s="146" t="e">
        <f t="shared" si="24"/>
        <v>#VALUE!</v>
      </c>
      <c r="BL37" s="399"/>
      <c r="BM37" s="157">
        <f t="shared" si="30"/>
        <v>0</v>
      </c>
      <c r="BN37">
        <f t="shared" si="31"/>
        <v>2</v>
      </c>
    </row>
    <row r="38" spans="1:67" ht="15.95" customHeight="1" thickBot="1" x14ac:dyDescent="0.3">
      <c r="B38" s="80">
        <f>MAX($B$8:$B37)</f>
        <v>148.02666666666664</v>
      </c>
      <c r="C38" s="80"/>
      <c r="D38" s="80"/>
      <c r="E38" s="80"/>
      <c r="F38" s="80"/>
      <c r="G38" s="280">
        <f>MAX($G$9:$G37)</f>
        <v>148.01599999999999</v>
      </c>
      <c r="H38" s="10" t="s">
        <v>1</v>
      </c>
      <c r="I38" s="14"/>
      <c r="J38" s="612">
        <f>SUM(L38:L38)-SUM(Q39:R39)</f>
        <v>148.02000000000001</v>
      </c>
      <c r="K38" s="613"/>
      <c r="L38" s="76">
        <f>SUM(L9:L37)</f>
        <v>148.02000000000001</v>
      </c>
      <c r="M38" s="141">
        <f>FLOOR(L38,1)</f>
        <v>148</v>
      </c>
      <c r="N38" s="141">
        <f>+L38-M38</f>
        <v>2.0000000000010232E-2</v>
      </c>
      <c r="O38" s="141">
        <f>+N38/100*60</f>
        <v>1.2000000000006139E-2</v>
      </c>
      <c r="P38" s="278">
        <f>+O38+M38</f>
        <v>148.012</v>
      </c>
      <c r="Q38" s="629"/>
      <c r="R38" s="630"/>
      <c r="S38" s="631"/>
      <c r="T38" s="632"/>
      <c r="U38" s="433">
        <f>+AC38</f>
        <v>0</v>
      </c>
      <c r="V38" s="433"/>
      <c r="W38" s="433"/>
      <c r="X38" s="433"/>
      <c r="Y38" s="434">
        <f>SUM(Y7:Y37)</f>
        <v>0</v>
      </c>
      <c r="Z38" s="141">
        <f>FLOOR(Y38,1)</f>
        <v>0</v>
      </c>
      <c r="AA38" s="141">
        <f>+Y38-Z38</f>
        <v>0</v>
      </c>
      <c r="AB38" s="141">
        <f>+AA38/100*60</f>
        <v>0</v>
      </c>
      <c r="AC38" s="141">
        <f>+AB38+Z38</f>
        <v>0</v>
      </c>
      <c r="AD38" s="433">
        <f>+AL38</f>
        <v>0</v>
      </c>
      <c r="AE38" s="433"/>
      <c r="AF38" s="433"/>
      <c r="AG38" s="433"/>
      <c r="AH38" s="434">
        <f>SUM(AH7:AH37)</f>
        <v>0</v>
      </c>
      <c r="AI38" s="141">
        <f>FLOOR(AH38,1)</f>
        <v>0</v>
      </c>
      <c r="AJ38" s="141">
        <f>+AH38-AI38</f>
        <v>0</v>
      </c>
      <c r="AK38" s="141">
        <f>+AJ38/100*60</f>
        <v>0</v>
      </c>
      <c r="AL38" s="141">
        <f>+AK38+AI38</f>
        <v>0</v>
      </c>
      <c r="AM38" s="473">
        <f>+AU38</f>
        <v>0</v>
      </c>
      <c r="AN38" s="459"/>
      <c r="AO38" s="434"/>
      <c r="AP38" s="434"/>
      <c r="AQ38" s="434">
        <f>SUM(AQ7:AQ37)</f>
        <v>0</v>
      </c>
      <c r="AR38" s="141">
        <f>FLOOR(AQ38,1)</f>
        <v>0</v>
      </c>
      <c r="AS38" s="141">
        <f>+AQ38-AR38</f>
        <v>0</v>
      </c>
      <c r="AT38" s="141">
        <f>+AS38/100*60</f>
        <v>0</v>
      </c>
      <c r="AU38" s="141">
        <f>+AT38+AR38</f>
        <v>0</v>
      </c>
      <c r="AZ38" s="192"/>
      <c r="BA38" s="192"/>
      <c r="BB38" s="192"/>
      <c r="BC38" s="192"/>
      <c r="BD38" s="192"/>
      <c r="BE38" s="192"/>
      <c r="BG38" s="137" t="str">
        <f>IF($K38&gt;0,+SUM(L$9:$L38)-$B38+Jan!$AW$41," ")</f>
        <v xml:space="preserve"> </v>
      </c>
      <c r="BH38" s="144"/>
      <c r="BI38" s="144"/>
      <c r="BJ38" s="144"/>
      <c r="BK38" s="144"/>
      <c r="BL38"/>
      <c r="BM38" s="157"/>
    </row>
    <row r="39" spans="1:67" ht="15.95" customHeight="1" x14ac:dyDescent="0.25">
      <c r="H39" s="623"/>
      <c r="I39" s="623"/>
      <c r="J39" s="624"/>
      <c r="K39" s="624"/>
      <c r="L39" s="624"/>
      <c r="M39" s="123"/>
      <c r="N39" s="123"/>
      <c r="O39" s="123"/>
      <c r="P39" s="123"/>
      <c r="Q39" s="99"/>
      <c r="R39" s="99"/>
      <c r="S39" s="599" t="s">
        <v>10</v>
      </c>
      <c r="T39" s="600"/>
      <c r="U39" s="600"/>
      <c r="V39" s="600"/>
      <c r="W39" s="600"/>
      <c r="X39" s="600"/>
      <c r="Y39" s="600"/>
      <c r="Z39" s="600"/>
      <c r="AA39" s="600"/>
      <c r="AB39" s="600"/>
      <c r="AC39" s="600"/>
      <c r="AD39" s="601"/>
      <c r="AE39" s="601"/>
      <c r="AF39" s="601"/>
      <c r="AG39" s="601"/>
      <c r="AH39" s="601"/>
      <c r="AI39" s="601"/>
      <c r="AJ39" s="601"/>
      <c r="AK39" s="601"/>
      <c r="AL39" s="601"/>
      <c r="AM39" s="601"/>
      <c r="AN39" s="400"/>
      <c r="AO39" s="400"/>
      <c r="AP39" s="400"/>
      <c r="AQ39" s="400"/>
      <c r="AR39" s="400"/>
      <c r="AS39" s="400"/>
      <c r="AT39" s="400"/>
      <c r="AU39" s="400"/>
      <c r="AV39" s="538">
        <f>+Jan!AW44</f>
        <v>0</v>
      </c>
      <c r="AW39" s="538"/>
      <c r="AX39" s="605"/>
      <c r="AZ39" s="190">
        <f>+Jan!BA44</f>
        <v>0</v>
      </c>
      <c r="BA39" s="144">
        <f t="shared" ref="BA39:BA44" si="32">IF(AZ39&lt;0,-1,1)</f>
        <v>1</v>
      </c>
      <c r="BB39" s="146">
        <f t="shared" ref="BB39:BB44" si="33">FLOOR(AZ39,BA39)</f>
        <v>0</v>
      </c>
      <c r="BC39" s="141">
        <f>+AZ39-BB39</f>
        <v>0</v>
      </c>
      <c r="BD39" s="141">
        <f>+BC39/100*60</f>
        <v>0</v>
      </c>
      <c r="BE39" s="162">
        <f>+BD39+BB39</f>
        <v>0</v>
      </c>
      <c r="BG39" s="137" t="str">
        <f>IF($K39&gt;0,+SUM(L$9:$L39)-$B39+Jan!$AW$41," ")</f>
        <v xml:space="preserve"> </v>
      </c>
      <c r="BH39" s="144"/>
      <c r="BI39" s="144"/>
      <c r="BJ39" s="144"/>
      <c r="BK39" s="144"/>
      <c r="BL39"/>
      <c r="BO39" s="15"/>
    </row>
    <row r="40" spans="1:67" ht="15.95" customHeight="1" x14ac:dyDescent="0.25">
      <c r="H40" s="94"/>
      <c r="I40" s="94"/>
      <c r="J40" s="102"/>
      <c r="K40" s="102"/>
      <c r="L40" s="103"/>
      <c r="M40" s="103"/>
      <c r="N40" s="103"/>
      <c r="O40" s="103"/>
      <c r="P40" s="103"/>
      <c r="Q40" s="103"/>
      <c r="R40" s="103"/>
      <c r="S40" s="602" t="s">
        <v>11</v>
      </c>
      <c r="T40" s="603"/>
      <c r="U40" s="603"/>
      <c r="V40" s="603"/>
      <c r="W40" s="603"/>
      <c r="X40" s="603"/>
      <c r="Y40" s="603"/>
      <c r="Z40" s="603"/>
      <c r="AA40" s="603"/>
      <c r="AB40" s="603"/>
      <c r="AC40" s="603"/>
      <c r="AD40" s="604"/>
      <c r="AE40" s="604"/>
      <c r="AF40" s="604"/>
      <c r="AG40" s="604"/>
      <c r="AH40" s="604"/>
      <c r="AI40" s="604"/>
      <c r="AJ40" s="604"/>
      <c r="AK40" s="604"/>
      <c r="AL40" s="604"/>
      <c r="AM40" s="604"/>
      <c r="AN40" s="401"/>
      <c r="AO40" s="401"/>
      <c r="AP40" s="401"/>
      <c r="AQ40" s="401"/>
      <c r="AR40" s="401"/>
      <c r="AS40" s="401"/>
      <c r="AT40" s="401"/>
      <c r="AU40" s="401"/>
      <c r="AV40" s="606">
        <f>+BE40</f>
        <v>148.012</v>
      </c>
      <c r="AW40" s="607"/>
      <c r="AX40" s="608"/>
      <c r="AY40" s="1"/>
      <c r="AZ40" s="190">
        <f>+J38+AQ38</f>
        <v>148.02000000000001</v>
      </c>
      <c r="BA40" s="144">
        <f t="shared" si="32"/>
        <v>1</v>
      </c>
      <c r="BB40" s="146">
        <f t="shared" si="33"/>
        <v>148</v>
      </c>
      <c r="BC40" s="141">
        <f>+AZ40-BB40</f>
        <v>2.0000000000010232E-2</v>
      </c>
      <c r="BD40" s="141">
        <f>+BC40/100*60</f>
        <v>1.2000000000006139E-2</v>
      </c>
      <c r="BE40" s="162">
        <f>+BD40+BB40</f>
        <v>148.012</v>
      </c>
      <c r="BG40" s="138"/>
      <c r="BH40" s="143"/>
      <c r="BI40" s="143"/>
      <c r="BJ40" s="143"/>
      <c r="BK40" s="143"/>
      <c r="BL40"/>
    </row>
    <row r="41" spans="1:67" ht="15.95" customHeight="1" x14ac:dyDescent="0.25">
      <c r="H41" s="611"/>
      <c r="I41" s="611"/>
      <c r="J41" s="611"/>
      <c r="K41" s="611"/>
      <c r="L41" s="611"/>
      <c r="M41" s="611"/>
      <c r="N41" s="611"/>
      <c r="O41" s="611"/>
      <c r="P41" s="611"/>
      <c r="Q41" s="611"/>
      <c r="R41" s="611"/>
      <c r="S41" s="602" t="s">
        <v>12</v>
      </c>
      <c r="T41" s="603"/>
      <c r="U41" s="603"/>
      <c r="V41" s="603"/>
      <c r="W41" s="603"/>
      <c r="X41" s="603"/>
      <c r="Y41" s="603"/>
      <c r="Z41" s="603"/>
      <c r="AA41" s="603"/>
      <c r="AB41" s="603"/>
      <c r="AC41" s="603"/>
      <c r="AD41" s="604"/>
      <c r="AE41" s="604"/>
      <c r="AF41" s="604"/>
      <c r="AG41" s="604"/>
      <c r="AH41" s="604"/>
      <c r="AI41" s="604"/>
      <c r="AJ41" s="604"/>
      <c r="AK41" s="604"/>
      <c r="AL41" s="604"/>
      <c r="AM41" s="604"/>
      <c r="AN41" s="401"/>
      <c r="AO41" s="401"/>
      <c r="AP41" s="401"/>
      <c r="AQ41" s="401"/>
      <c r="AR41" s="401"/>
      <c r="AS41" s="401"/>
      <c r="AT41" s="401"/>
      <c r="AU41" s="401"/>
      <c r="AV41" s="543">
        <f>+BE41</f>
        <v>148.01599999999999</v>
      </c>
      <c r="AW41" s="544"/>
      <c r="AX41" s="608"/>
      <c r="AZ41" s="157">
        <f>+B38</f>
        <v>148.02666666666664</v>
      </c>
      <c r="BA41" s="144">
        <f t="shared" si="32"/>
        <v>1</v>
      </c>
      <c r="BB41" s="146">
        <f t="shared" si="33"/>
        <v>148</v>
      </c>
      <c r="BC41" s="141">
        <f>+AZ41-BB41</f>
        <v>2.6666666666642413E-2</v>
      </c>
      <c r="BD41" s="141">
        <f>+BC41/100*60</f>
        <v>1.5999999999985449E-2</v>
      </c>
      <c r="BE41" s="162">
        <f>+BD41+BB41</f>
        <v>148.01599999999999</v>
      </c>
    </row>
    <row r="42" spans="1:67" ht="15.95" customHeight="1" thickBot="1" x14ac:dyDescent="0.3">
      <c r="H42" s="96"/>
      <c r="I42" s="96"/>
      <c r="J42" s="96"/>
      <c r="K42" s="96"/>
      <c r="L42" s="97"/>
      <c r="M42" s="97"/>
      <c r="N42" s="97"/>
      <c r="O42" s="97"/>
      <c r="P42" s="97"/>
      <c r="Q42" s="96"/>
      <c r="R42" s="96"/>
      <c r="S42" s="596" t="s">
        <v>13</v>
      </c>
      <c r="T42" s="597"/>
      <c r="U42" s="597"/>
      <c r="V42" s="597"/>
      <c r="W42" s="597"/>
      <c r="X42" s="597"/>
      <c r="Y42" s="597"/>
      <c r="Z42" s="597"/>
      <c r="AA42" s="597"/>
      <c r="AB42" s="597"/>
      <c r="AC42" s="597"/>
      <c r="AD42" s="598"/>
      <c r="AE42" s="598"/>
      <c r="AF42" s="598"/>
      <c r="AG42" s="598"/>
      <c r="AH42" s="598"/>
      <c r="AI42" s="598"/>
      <c r="AJ42" s="598"/>
      <c r="AK42" s="598"/>
      <c r="AL42" s="598"/>
      <c r="AM42" s="598"/>
      <c r="AN42" s="402"/>
      <c r="AO42" s="402"/>
      <c r="AP42" s="402"/>
      <c r="AQ42" s="402"/>
      <c r="AR42" s="402"/>
      <c r="AS42" s="402"/>
      <c r="AT42" s="402"/>
      <c r="AU42" s="402"/>
      <c r="AV42" s="545">
        <f>+BE42</f>
        <v>-3.9999999999793083E-3</v>
      </c>
      <c r="AW42" s="609"/>
      <c r="AX42" s="610"/>
      <c r="AZ42" s="157">
        <f>+AZ39+AZ40-AZ41</f>
        <v>-6.6666666666321817E-3</v>
      </c>
      <c r="BA42" s="144">
        <f t="shared" si="32"/>
        <v>-1</v>
      </c>
      <c r="BB42" s="146">
        <f t="shared" si="33"/>
        <v>0</v>
      </c>
      <c r="BC42" s="141">
        <f>+AZ42-BB42</f>
        <v>-6.6666666666321817E-3</v>
      </c>
      <c r="BD42" s="141">
        <f>+BC42/100*60</f>
        <v>-3.9999999999793083E-3</v>
      </c>
      <c r="BE42" s="162">
        <f>+BD42+BB42</f>
        <v>-3.9999999999793083E-3</v>
      </c>
    </row>
    <row r="43" spans="1:67" hidden="1" x14ac:dyDescent="0.25">
      <c r="S43" s="171"/>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2"/>
      <c r="BA43" s="144">
        <f t="shared" si="32"/>
        <v>1</v>
      </c>
      <c r="BB43" s="146">
        <f t="shared" si="33"/>
        <v>0</v>
      </c>
    </row>
    <row r="44" spans="1:67" ht="15" hidden="1" customHeight="1" thickBot="1" x14ac:dyDescent="0.3">
      <c r="S44" s="589" t="s">
        <v>76</v>
      </c>
      <c r="T44" s="590"/>
      <c r="U44" s="590"/>
      <c r="V44" s="590"/>
      <c r="W44" s="590"/>
      <c r="X44" s="590"/>
      <c r="Y44" s="590"/>
      <c r="Z44" s="590"/>
      <c r="AA44" s="590"/>
      <c r="AB44" s="590"/>
      <c r="AC44" s="590"/>
      <c r="AD44" s="590"/>
      <c r="AE44" s="590"/>
      <c r="AF44" s="590"/>
      <c r="AG44" s="590"/>
      <c r="AH44" s="590"/>
      <c r="AI44" s="590"/>
      <c r="AJ44" s="590"/>
      <c r="AK44" s="590"/>
      <c r="AL44" s="590"/>
      <c r="AM44" s="590"/>
      <c r="AN44" s="175"/>
      <c r="AO44" s="175"/>
      <c r="AP44" s="175"/>
      <c r="AQ44" s="175"/>
      <c r="AR44" s="175"/>
      <c r="AS44" s="175"/>
      <c r="AT44" s="175"/>
      <c r="AU44" s="175"/>
      <c r="AV44" s="594">
        <f>+BE44</f>
        <v>0</v>
      </c>
      <c r="AW44" s="594"/>
      <c r="AX44" s="595"/>
      <c r="AZ44" s="157">
        <f>+Y38+AH38+Jan!BA47</f>
        <v>0</v>
      </c>
      <c r="BA44" s="144">
        <f t="shared" si="32"/>
        <v>1</v>
      </c>
      <c r="BB44" s="146">
        <f t="shared" si="33"/>
        <v>0</v>
      </c>
      <c r="BC44" s="141">
        <f>+AZ44-BB44</f>
        <v>0</v>
      </c>
      <c r="BD44" s="141">
        <f>+BC44/100*60</f>
        <v>0</v>
      </c>
      <c r="BE44" s="162">
        <f>+BD44+BB44</f>
        <v>0</v>
      </c>
    </row>
  </sheetData>
  <sheetProtection sheet="1" objects="1" scenarios="1"/>
  <mergeCells count="57">
    <mergeCell ref="Q24:T24"/>
    <mergeCell ref="Q25:T25"/>
    <mergeCell ref="U6:AD6"/>
    <mergeCell ref="Q38:T38"/>
    <mergeCell ref="Q7:T7"/>
    <mergeCell ref="Q36:T36"/>
    <mergeCell ref="Q32:T32"/>
    <mergeCell ref="Q33:T33"/>
    <mergeCell ref="Q30:T30"/>
    <mergeCell ref="Q37:T37"/>
    <mergeCell ref="Q34:T34"/>
    <mergeCell ref="Q35:T35"/>
    <mergeCell ref="Q31:T31"/>
    <mergeCell ref="Q28:T28"/>
    <mergeCell ref="Q29:T29"/>
    <mergeCell ref="Q26:T26"/>
    <mergeCell ref="Q27:T27"/>
    <mergeCell ref="Q12:T12"/>
    <mergeCell ref="Q13:T13"/>
    <mergeCell ref="Q20:T20"/>
    <mergeCell ref="Q21:T21"/>
    <mergeCell ref="Q16:T16"/>
    <mergeCell ref="Q17:T17"/>
    <mergeCell ref="Q18:T18"/>
    <mergeCell ref="Q19:T19"/>
    <mergeCell ref="AW3:AY3"/>
    <mergeCell ref="AW4:AY4"/>
    <mergeCell ref="H1:AZ1"/>
    <mergeCell ref="H41:R41"/>
    <mergeCell ref="J38:K38"/>
    <mergeCell ref="AW5:AY5"/>
    <mergeCell ref="U5:AV5"/>
    <mergeCell ref="L5:S5"/>
    <mergeCell ref="H5:K5"/>
    <mergeCell ref="H39:L39"/>
    <mergeCell ref="H4:K4"/>
    <mergeCell ref="U3:AV3"/>
    <mergeCell ref="L4:S4"/>
    <mergeCell ref="H3:K3"/>
    <mergeCell ref="L3:S3"/>
    <mergeCell ref="Q14:T14"/>
    <mergeCell ref="S44:AM44"/>
    <mergeCell ref="Q9:T9"/>
    <mergeCell ref="AV44:AX44"/>
    <mergeCell ref="S42:AM42"/>
    <mergeCell ref="S39:AM39"/>
    <mergeCell ref="S40:AM40"/>
    <mergeCell ref="S41:AM41"/>
    <mergeCell ref="AV39:AX39"/>
    <mergeCell ref="AV40:AX40"/>
    <mergeCell ref="AV41:AX41"/>
    <mergeCell ref="AV42:AX42"/>
    <mergeCell ref="Q15:T15"/>
    <mergeCell ref="Q10:T10"/>
    <mergeCell ref="Q11:T11"/>
    <mergeCell ref="Q22:T22"/>
    <mergeCell ref="Q23:T23"/>
  </mergeCells>
  <phoneticPr fontId="0" type="noConversion"/>
  <conditionalFormatting sqref="H9:H37">
    <cfRule type="expression" dxfId="260" priority="26" stopIfTrue="1">
      <formula>IF(WEEKDAY($I9,2)&gt;5,1,0)</formula>
    </cfRule>
    <cfRule type="expression" dxfId="259" priority="27" stopIfTrue="1">
      <formula>IF($I9=TODAY(),1,0)</formula>
    </cfRule>
  </conditionalFormatting>
  <conditionalFormatting sqref="Q9:T37 AZ9:BE37 J9:K11 J14:K18 J21:K25 J31:K32 J37:K37">
    <cfRule type="expression" dxfId="258" priority="28" stopIfTrue="1">
      <formula>IF(WEEKDAY($B9,2)&lt;6,1,0)</formula>
    </cfRule>
  </conditionalFormatting>
  <conditionalFormatting sqref="BI9:BK36 BB39:BB44 AE9:AG37 AN9:AP37 AR38:AU38 AI38:AL38 V9:X37 Z38:AC38 BC39:BE42 BC44:BE44 M38:P38 L9:P11 BI37:BL37 L14:P18 L21:P25 L31:P32 L37:P37">
    <cfRule type="cellIs" dxfId="257" priority="29" stopIfTrue="1" operator="lessThan">
      <formula>0</formula>
    </cfRule>
  </conditionalFormatting>
  <conditionalFormatting sqref="B9:B37 G9:G37">
    <cfRule type="expression" dxfId="256" priority="30" stopIfTrue="1">
      <formula>IF(B9=MAX($B$8:B8),1,0)</formula>
    </cfRule>
  </conditionalFormatting>
  <conditionalFormatting sqref="J12:K12">
    <cfRule type="expression" dxfId="255" priority="24" stopIfTrue="1">
      <formula>IF(WEEKDAY($B12,2)&lt;6,1,0)</formula>
    </cfRule>
  </conditionalFormatting>
  <conditionalFormatting sqref="L12:P12">
    <cfRule type="cellIs" dxfId="254" priority="25" stopIfTrue="1" operator="lessThan">
      <formula>0</formula>
    </cfRule>
  </conditionalFormatting>
  <conditionalFormatting sqref="L13:P13">
    <cfRule type="cellIs" dxfId="253" priority="23" stopIfTrue="1" operator="lessThan">
      <formula>0</formula>
    </cfRule>
  </conditionalFormatting>
  <conditionalFormatting sqref="J19:K19">
    <cfRule type="expression" dxfId="252" priority="20" stopIfTrue="1">
      <formula>IF(WEEKDAY($B19,2)&lt;6,1,0)</formula>
    </cfRule>
  </conditionalFormatting>
  <conditionalFormatting sqref="L19:P19">
    <cfRule type="cellIs" dxfId="251" priority="21" stopIfTrue="1" operator="lessThan">
      <formula>0</formula>
    </cfRule>
  </conditionalFormatting>
  <conditionalFormatting sqref="J20:K20">
    <cfRule type="expression" dxfId="250" priority="18" stopIfTrue="1">
      <formula>IF(WEEKDAY($B20,2)&lt;6,1,0)</formula>
    </cfRule>
  </conditionalFormatting>
  <conditionalFormatting sqref="L20:P20">
    <cfRule type="cellIs" dxfId="249" priority="19" stopIfTrue="1" operator="lessThan">
      <formula>0</formula>
    </cfRule>
  </conditionalFormatting>
  <conditionalFormatting sqref="J30:K30 J29">
    <cfRule type="expression" dxfId="248" priority="16" stopIfTrue="1">
      <formula>IF(WEEKDAY($B29,2)&lt;6,1,0)</formula>
    </cfRule>
  </conditionalFormatting>
  <conditionalFormatting sqref="L28:P30">
    <cfRule type="cellIs" dxfId="247" priority="17" stopIfTrue="1" operator="lessThan">
      <formula>0</formula>
    </cfRule>
  </conditionalFormatting>
  <conditionalFormatting sqref="J26:K26">
    <cfRule type="expression" dxfId="246" priority="14" stopIfTrue="1">
      <formula>IF(WEEKDAY($B26,2)&lt;6,1,0)</formula>
    </cfRule>
  </conditionalFormatting>
  <conditionalFormatting sqref="L26:P26">
    <cfRule type="cellIs" dxfId="245" priority="15" stopIfTrue="1" operator="lessThan">
      <formula>0</formula>
    </cfRule>
  </conditionalFormatting>
  <conditionalFormatting sqref="J27:K27">
    <cfRule type="expression" dxfId="244" priority="12" stopIfTrue="1">
      <formula>IF(WEEKDAY($B27,2)&lt;6,1,0)</formula>
    </cfRule>
  </conditionalFormatting>
  <conditionalFormatting sqref="L27:P27">
    <cfRule type="cellIs" dxfId="243" priority="13" stopIfTrue="1" operator="lessThan">
      <formula>0</formula>
    </cfRule>
  </conditionalFormatting>
  <conditionalFormatting sqref="J35:K36">
    <cfRule type="expression" dxfId="242" priority="10" stopIfTrue="1">
      <formula>IF(WEEKDAY($B35,2)&lt;6,1,0)</formula>
    </cfRule>
  </conditionalFormatting>
  <conditionalFormatting sqref="L35:P36">
    <cfRule type="cellIs" dxfId="241" priority="11" stopIfTrue="1" operator="lessThan">
      <formula>0</formula>
    </cfRule>
  </conditionalFormatting>
  <conditionalFormatting sqref="J33:K33">
    <cfRule type="expression" dxfId="240" priority="8" stopIfTrue="1">
      <formula>IF(WEEKDAY($B33,2)&lt;6,1,0)</formula>
    </cfRule>
  </conditionalFormatting>
  <conditionalFormatting sqref="L33:P33">
    <cfRule type="cellIs" dxfId="239" priority="9" stopIfTrue="1" operator="lessThan">
      <formula>0</formula>
    </cfRule>
  </conditionalFormatting>
  <conditionalFormatting sqref="J34:K34">
    <cfRule type="expression" dxfId="238" priority="6" stopIfTrue="1">
      <formula>IF(WEEKDAY($B34,2)&lt;6,1,0)</formula>
    </cfRule>
  </conditionalFormatting>
  <conditionalFormatting sqref="L34:P34">
    <cfRule type="cellIs" dxfId="237" priority="7" stopIfTrue="1" operator="lessThan">
      <formula>0</formula>
    </cfRule>
  </conditionalFormatting>
  <conditionalFormatting sqref="K29">
    <cfRule type="expression" dxfId="236" priority="5" stopIfTrue="1">
      <formula>IF(WEEKDAY($B29,2)&lt;6,1,0)</formula>
    </cfRule>
  </conditionalFormatting>
  <conditionalFormatting sqref="J13">
    <cfRule type="expression" dxfId="235" priority="4" stopIfTrue="1">
      <formula>IF(WEEKDAY($B13,2)&lt;6,1,0)</formula>
    </cfRule>
  </conditionalFormatting>
  <conditionalFormatting sqref="K13">
    <cfRule type="expression" dxfId="234" priority="3" stopIfTrue="1">
      <formula>IF(WEEKDAY($B13,2)&lt;6,1,0)</formula>
    </cfRule>
  </conditionalFormatting>
  <conditionalFormatting sqref="J28">
    <cfRule type="expression" dxfId="233" priority="2" stopIfTrue="1">
      <formula>IF(WEEKDAY($B28,2)&lt;6,1,0)</formula>
    </cfRule>
  </conditionalFormatting>
  <conditionalFormatting sqref="K28">
    <cfRule type="expression" dxfId="232" priority="1" stopIfTrue="1">
      <formula>IF(WEEKDAY($B28,2)&lt;6,1,0)</formula>
    </cfRule>
  </conditionalFormatting>
  <printOptions horizontalCentered="1" verticalCentered="1"/>
  <pageMargins left="0.59055118110236227" right="0.19685039370078741" top="0.19685039370078741" bottom="0.59055118110236227" header="0.51181102362204722" footer="0.51181102362204722"/>
  <pageSetup paperSize="9" scale="110" orientation="portrait" horizont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dimension ref="A1:BO46"/>
  <sheetViews>
    <sheetView zoomScale="75" workbookViewId="0">
      <pane xSplit="9" ySplit="8" topLeftCell="J9" activePane="bottomRight" state="frozen"/>
      <selection activeCell="Q7" sqref="Q7:T7"/>
      <selection pane="topRight" activeCell="Q7" sqref="Q7:T7"/>
      <selection pane="bottomLeft" activeCell="Q7" sqref="Q7:T7"/>
      <selection pane="bottomRight" activeCell="J27" sqref="J27:K27"/>
    </sheetView>
  </sheetViews>
  <sheetFormatPr defaultRowHeight="15" x14ac:dyDescent="0.25"/>
  <cols>
    <col min="1" max="1" width="10.42578125" customWidth="1"/>
    <col min="2" max="2" width="9.42578125" hidden="1" customWidth="1"/>
    <col min="3" max="3" width="5.28515625" hidden="1" customWidth="1"/>
    <col min="4" max="6" width="9.85546875" hidden="1" customWidth="1"/>
    <col min="7" max="7" width="10" style="258" customWidth="1"/>
    <col min="8" max="8" width="5.42578125" bestFit="1" customWidth="1"/>
    <col min="9" max="9" width="12" hidden="1" customWidth="1"/>
    <col min="10" max="10" width="7.7109375" bestFit="1" customWidth="1"/>
    <col min="11" max="11" width="7" bestFit="1" customWidth="1"/>
    <col min="12" max="12" width="7.140625" hidden="1" customWidth="1"/>
    <col min="13" max="13" width="7.5703125" hidden="1" customWidth="1"/>
    <col min="14" max="15" width="5.28515625" hidden="1" customWidth="1"/>
    <col min="16" max="16" width="8" customWidth="1"/>
    <col min="17" max="19" width="6.28515625" customWidth="1"/>
    <col min="20" max="20" width="4" customWidth="1"/>
    <col min="21" max="21" width="16.85546875" style="266" customWidth="1"/>
    <col min="22" max="28" width="5.28515625" style="266" hidden="1" customWidth="1"/>
    <col min="29" max="29" width="0.5703125" style="266" hidden="1" customWidth="1"/>
    <col min="30" max="30" width="17.140625" style="266" customWidth="1"/>
    <col min="31" max="38" width="5.28515625" style="266" hidden="1" customWidth="1"/>
    <col min="39" max="39" width="22.85546875" style="266" bestFit="1" customWidth="1"/>
    <col min="40" max="47" width="5.28515625" hidden="1" customWidth="1"/>
    <col min="48" max="48" width="6.28515625" hidden="1" customWidth="1"/>
    <col min="49" max="49" width="4.140625" customWidth="1"/>
    <col min="50" max="50" width="6.28515625" customWidth="1"/>
    <col min="51" max="51" width="12.85546875" customWidth="1"/>
    <col min="52" max="52" width="8.5703125" hidden="1" customWidth="1"/>
    <col min="53" max="53" width="5.28515625" hidden="1" customWidth="1"/>
    <col min="54" max="54" width="7.5703125" hidden="1" customWidth="1"/>
    <col min="55" max="56" width="5.28515625" hidden="1" customWidth="1"/>
    <col min="57" max="57" width="7.5703125" hidden="1" customWidth="1"/>
    <col min="58" max="58" width="8.5703125" hidden="1" customWidth="1"/>
    <col min="59" max="60" width="10" style="134" hidden="1" customWidth="1"/>
    <col min="61" max="63" width="9.85546875" style="134" hidden="1" customWidth="1"/>
    <col min="64" max="64" width="12.140625" style="134" customWidth="1"/>
    <col min="65" max="65" width="4.5703125" hidden="1" customWidth="1"/>
    <col min="66" max="66" width="2.28515625" hidden="1" customWidth="1"/>
    <col min="67" max="68" width="0" hidden="1" customWidth="1"/>
  </cols>
  <sheetData>
    <row r="1" spans="1:66" ht="18" x14ac:dyDescent="0.25">
      <c r="H1" s="547" t="s">
        <v>114</v>
      </c>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174"/>
      <c r="BB1" s="174"/>
      <c r="BC1" s="174"/>
      <c r="BD1" s="174"/>
      <c r="BE1" s="174"/>
    </row>
    <row r="2" spans="1:66" ht="8.1" customHeight="1" x14ac:dyDescent="0.25">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66" ht="15.95" customHeight="1" x14ac:dyDescent="0.25">
      <c r="H3" s="620" t="s">
        <v>5</v>
      </c>
      <c r="I3" s="621"/>
      <c r="J3" s="621"/>
      <c r="K3" s="622"/>
      <c r="L3" s="555" t="str">
        <f>+Resume!H1</f>
        <v>Lars Larsen</v>
      </c>
      <c r="M3" s="556"/>
      <c r="N3" s="556"/>
      <c r="O3" s="556"/>
      <c r="P3" s="556"/>
      <c r="Q3" s="557"/>
      <c r="R3" s="557"/>
      <c r="S3" s="557"/>
      <c r="T3" s="49"/>
      <c r="U3" s="626" t="s">
        <v>7</v>
      </c>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155"/>
      <c r="AX3" s="558">
        <f>DATE(Nøgletal!B1,3,1)</f>
        <v>41334</v>
      </c>
      <c r="AY3" s="560"/>
      <c r="AZ3" s="183"/>
      <c r="BA3" s="183"/>
      <c r="BB3" s="183"/>
      <c r="BC3" s="183"/>
      <c r="BD3" s="183"/>
      <c r="BE3" s="183"/>
    </row>
    <row r="4" spans="1:66" ht="15.95" customHeight="1" x14ac:dyDescent="0.25">
      <c r="H4" s="625" t="s">
        <v>6</v>
      </c>
      <c r="I4" s="625"/>
      <c r="J4" s="625"/>
      <c r="K4" s="625"/>
      <c r="L4" s="550" t="str">
        <f>+Resume!H2</f>
        <v>010101-0101</v>
      </c>
      <c r="M4" s="551"/>
      <c r="N4" s="551"/>
      <c r="O4" s="551"/>
      <c r="P4" s="551"/>
      <c r="Q4" s="551"/>
      <c r="R4" s="551"/>
      <c r="S4" s="551"/>
      <c r="T4" s="50"/>
      <c r="U4" s="17" t="s">
        <v>8</v>
      </c>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8"/>
      <c r="AW4" s="159"/>
      <c r="AX4" s="561" t="str">
        <f>IF(Resume!I4&lt;&gt;"",Resume!I4,"")</f>
        <v>1 - bagud</v>
      </c>
      <c r="AY4" s="563"/>
      <c r="AZ4" s="184"/>
      <c r="BA4" s="184"/>
      <c r="BB4" s="184"/>
      <c r="BC4" s="184"/>
      <c r="BD4" s="184"/>
      <c r="BE4" s="184"/>
    </row>
    <row r="5" spans="1:66" ht="15.95" customHeight="1" x14ac:dyDescent="0.25">
      <c r="H5" s="620" t="s">
        <v>9</v>
      </c>
      <c r="I5" s="621"/>
      <c r="J5" s="621"/>
      <c r="K5" s="622"/>
      <c r="L5" s="555" t="str">
        <f>+Resume!H3</f>
        <v>SKAT</v>
      </c>
      <c r="M5" s="556"/>
      <c r="N5" s="556"/>
      <c r="O5" s="556"/>
      <c r="P5" s="556"/>
      <c r="Q5" s="557"/>
      <c r="R5" s="557"/>
      <c r="S5" s="557"/>
      <c r="T5" s="49"/>
      <c r="U5" s="617"/>
      <c r="V5" s="618"/>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9"/>
      <c r="AW5" s="156"/>
      <c r="AX5" s="614"/>
      <c r="AY5" s="616"/>
      <c r="AZ5" s="185"/>
      <c r="BA5" s="185"/>
      <c r="BB5" s="185"/>
      <c r="BC5" s="185"/>
      <c r="BD5" s="185"/>
      <c r="BE5" s="185"/>
    </row>
    <row r="6" spans="1:66" ht="51" customHeight="1" thickBot="1" x14ac:dyDescent="0.3">
      <c r="H6" s="3"/>
      <c r="I6" s="3"/>
      <c r="J6" s="3"/>
      <c r="K6" s="3"/>
      <c r="L6" s="3"/>
      <c r="M6" s="3"/>
      <c r="N6" s="3"/>
      <c r="O6" s="3"/>
      <c r="P6" s="3"/>
      <c r="Q6" s="426"/>
      <c r="R6" s="426"/>
      <c r="S6" s="426"/>
      <c r="T6" s="426"/>
      <c r="U6" s="628" t="s">
        <v>75</v>
      </c>
      <c r="V6" s="628"/>
      <c r="W6" s="628"/>
      <c r="X6" s="628"/>
      <c r="Y6" s="628"/>
      <c r="Z6" s="628"/>
      <c r="AA6" s="628"/>
      <c r="AB6" s="628"/>
      <c r="AC6" s="628"/>
      <c r="AD6" s="628"/>
      <c r="AE6" s="427"/>
      <c r="AF6" s="427"/>
      <c r="AG6" s="427"/>
      <c r="AH6" s="427"/>
      <c r="AI6" s="427"/>
      <c r="AJ6" s="427"/>
      <c r="AK6" s="427"/>
      <c r="AL6" s="427"/>
      <c r="AM6" s="428" t="s">
        <v>77</v>
      </c>
      <c r="AN6" s="429"/>
      <c r="AO6" s="429"/>
      <c r="AP6" s="429"/>
      <c r="AQ6" s="429"/>
      <c r="AR6" s="429"/>
      <c r="AS6" s="429"/>
      <c r="AT6" s="429"/>
      <c r="AU6" s="429"/>
      <c r="AV6" s="426"/>
      <c r="AW6" s="426"/>
      <c r="AX6" s="426"/>
      <c r="AY6" s="426"/>
      <c r="AZ6" s="101"/>
      <c r="BA6" s="101"/>
      <c r="BB6" s="101"/>
      <c r="BC6" s="101"/>
      <c r="BD6" s="101"/>
      <c r="BE6" s="101"/>
    </row>
    <row r="7" spans="1:66" s="118" customFormat="1" ht="51" customHeight="1" thickBot="1" x14ac:dyDescent="0.3">
      <c r="A7" s="112" t="s">
        <v>58</v>
      </c>
      <c r="B7" s="113" t="s">
        <v>18</v>
      </c>
      <c r="C7" s="176"/>
      <c r="D7" s="176"/>
      <c r="E7" s="176"/>
      <c r="F7" s="176"/>
      <c r="G7" s="262" t="s">
        <v>18</v>
      </c>
      <c r="H7" s="114" t="s">
        <v>2</v>
      </c>
      <c r="I7" s="115"/>
      <c r="J7" s="116" t="s">
        <v>3</v>
      </c>
      <c r="K7" s="116" t="s">
        <v>4</v>
      </c>
      <c r="L7" s="117" t="s">
        <v>0</v>
      </c>
      <c r="M7" s="139"/>
      <c r="N7" s="139"/>
      <c r="O7" s="139"/>
      <c r="P7" s="216" t="s">
        <v>69</v>
      </c>
      <c r="Q7" s="586" t="s">
        <v>115</v>
      </c>
      <c r="R7" s="587"/>
      <c r="S7" s="587"/>
      <c r="T7" s="588"/>
      <c r="U7" s="423" t="s">
        <v>116</v>
      </c>
      <c r="V7" s="423"/>
      <c r="W7" s="423"/>
      <c r="X7" s="423"/>
      <c r="Y7" s="423"/>
      <c r="Z7" s="423"/>
      <c r="AA7" s="423"/>
      <c r="AB7" s="423"/>
      <c r="AC7" s="423"/>
      <c r="AD7" s="423" t="s">
        <v>68</v>
      </c>
      <c r="AE7" s="423"/>
      <c r="AF7" s="423"/>
      <c r="AG7" s="423"/>
      <c r="AH7" s="423"/>
      <c r="AI7" s="423"/>
      <c r="AJ7" s="423"/>
      <c r="AK7" s="423"/>
      <c r="AL7" s="423"/>
      <c r="AM7" s="424" t="s">
        <v>91</v>
      </c>
      <c r="AN7" s="425"/>
      <c r="AO7" s="425"/>
      <c r="AP7" s="425"/>
      <c r="AQ7" s="425"/>
      <c r="AR7" s="425"/>
      <c r="AS7" s="425"/>
      <c r="AT7" s="425"/>
      <c r="AU7" s="425"/>
      <c r="AZ7" s="186"/>
      <c r="BA7" s="186"/>
      <c r="BB7" s="186"/>
      <c r="BC7" s="186"/>
      <c r="BD7" s="186"/>
      <c r="BE7" s="186"/>
      <c r="BG7" s="135" t="s">
        <v>61</v>
      </c>
      <c r="BH7" s="142"/>
      <c r="BI7" s="142"/>
      <c r="BJ7" s="142"/>
      <c r="BK7" s="142"/>
      <c r="BL7" s="163" t="s">
        <v>70</v>
      </c>
    </row>
    <row r="8" spans="1:66" ht="0.95" customHeight="1" x14ac:dyDescent="0.25">
      <c r="A8" s="81"/>
      <c r="B8" s="82"/>
      <c r="C8" s="177"/>
      <c r="D8" s="177"/>
      <c r="E8" s="177"/>
      <c r="F8" s="177"/>
      <c r="G8" s="263"/>
      <c r="H8" s="75"/>
      <c r="I8" s="70"/>
      <c r="J8" s="6">
        <v>0.34791666666666665</v>
      </c>
      <c r="K8" s="6">
        <v>0.61458333333333337</v>
      </c>
      <c r="L8" s="72"/>
      <c r="M8" s="140"/>
      <c r="N8" s="140"/>
      <c r="O8" s="140"/>
      <c r="P8" s="140"/>
      <c r="Q8" s="73"/>
      <c r="R8" s="73"/>
      <c r="S8" s="74"/>
      <c r="T8" s="74"/>
      <c r="U8" s="74"/>
      <c r="V8" s="74"/>
      <c r="W8" s="74"/>
      <c r="X8" s="74"/>
      <c r="Y8" s="74"/>
      <c r="Z8" s="74"/>
      <c r="AA8" s="74"/>
      <c r="AB8" s="74"/>
      <c r="AC8" s="74"/>
      <c r="AD8" s="74"/>
      <c r="AE8" s="74"/>
      <c r="AF8" s="74"/>
      <c r="AG8" s="74"/>
      <c r="AH8" s="74"/>
      <c r="AI8" s="74"/>
      <c r="AJ8" s="74"/>
      <c r="AK8" s="74"/>
      <c r="AL8" s="74"/>
      <c r="AM8" s="474">
        <v>1</v>
      </c>
      <c r="AN8" s="161"/>
      <c r="AO8" s="161"/>
      <c r="AP8" s="161"/>
      <c r="AQ8" s="161"/>
      <c r="AR8" s="161"/>
      <c r="AS8" s="161"/>
      <c r="AT8" s="161"/>
      <c r="AU8" s="161"/>
      <c r="AZ8" s="187"/>
      <c r="BA8" s="187"/>
      <c r="BB8" s="187"/>
      <c r="BC8" s="187"/>
      <c r="BD8" s="187"/>
      <c r="BE8" s="187"/>
      <c r="BG8" s="136"/>
      <c r="BH8" s="143"/>
      <c r="BI8" s="143"/>
      <c r="BJ8" s="143"/>
      <c r="BK8" s="143"/>
      <c r="BL8" s="166"/>
    </row>
    <row r="9" spans="1:66" ht="15.95" customHeight="1" x14ac:dyDescent="0.25">
      <c r="A9" s="83"/>
      <c r="B9" s="84">
        <f>IF($I9&lt;&gt;"",IF(WEEKDAY($I9,2)&lt;6,IF(VLOOKUP(WEEKDAY($I9,2),InputUge,3)&gt;0,IF($A9="",VLOOKUP(WEEKDAY($I9,2),InputUge,3)+MAX(B$8:B8),IF($A9&lt;VLOOKUP(WEEKDAY($I9,2),InputUge,3),$A9+MAX(B$8:B8),VLOOKUP(WEEKDAY($I9,2),InputUge,3)+MAX(B$8:B8))),""),""),"")</f>
        <v>6.4</v>
      </c>
      <c r="C9" s="144">
        <f>IF(B9&lt;0,-1,1)</f>
        <v>1</v>
      </c>
      <c r="D9" s="146">
        <f>FLOOR(B9,C9)</f>
        <v>6</v>
      </c>
      <c r="E9" s="146">
        <f>+B9-D9</f>
        <v>0.40000000000000036</v>
      </c>
      <c r="F9" s="146">
        <f>+E9/100*60</f>
        <v>0.24000000000000021</v>
      </c>
      <c r="G9" s="261">
        <f>+F9+D9</f>
        <v>6.24</v>
      </c>
      <c r="H9" s="4">
        <v>1</v>
      </c>
      <c r="I9" s="16">
        <f>MAX(Feb!I9:I37)+1</f>
        <v>41334</v>
      </c>
      <c r="J9" s="6">
        <v>0.34791666666666665</v>
      </c>
      <c r="K9" s="6">
        <v>0.61458333333333337</v>
      </c>
      <c r="L9" s="5">
        <f>IF(K9&gt;0,ROUND(((K9-J9)*24)-SUM(BR9:BS9)+BT9,2)+IF(Fredagsfrokost="n",IF(WEEKDAY($I9,2)=5,IF(K9&gt;=0.5,IF(K9&lt;=13/24,0,0),0),0),0),IF(AW9&gt;0,AW9,""))</f>
        <v>6.4</v>
      </c>
      <c r="M9" s="141">
        <f>FLOOR(L9,1)</f>
        <v>6</v>
      </c>
      <c r="N9" s="141">
        <f>+L9-M9</f>
        <v>0.40000000000000036</v>
      </c>
      <c r="O9" s="141">
        <f>+N9/100*60</f>
        <v>0.24000000000000021</v>
      </c>
      <c r="P9" s="162">
        <f>IF(J9="","",O9+M9)</f>
        <v>6.24</v>
      </c>
      <c r="Q9" s="591"/>
      <c r="R9" s="592"/>
      <c r="S9" s="592"/>
      <c r="T9" s="593"/>
      <c r="U9" s="417"/>
      <c r="V9" s="240">
        <f t="shared" ref="V9:V15" si="0">FLOOR(U9,1)</f>
        <v>0</v>
      </c>
      <c r="W9" s="240">
        <f t="shared" ref="W9:W14" si="1">+U9-V9</f>
        <v>0</v>
      </c>
      <c r="X9" s="240">
        <f t="shared" ref="X9:X14" si="2">+W9/60*100</f>
        <v>0</v>
      </c>
      <c r="Y9" s="243">
        <f t="shared" ref="Y9:Y14" si="3">+X9+V9</f>
        <v>0</v>
      </c>
      <c r="Z9" s="417"/>
      <c r="AA9" s="417"/>
      <c r="AB9" s="417"/>
      <c r="AC9" s="417"/>
      <c r="AD9" s="417"/>
      <c r="AE9" s="240">
        <f t="shared" ref="AE9:AE39" si="4">FLOOR(AD9,1)</f>
        <v>0</v>
      </c>
      <c r="AF9" s="240">
        <f>+AD9-AE9</f>
        <v>0</v>
      </c>
      <c r="AG9" s="240">
        <f t="shared" ref="AG9:AG39" si="5">+AF9/60*100</f>
        <v>0</v>
      </c>
      <c r="AH9" s="243">
        <f>+AG9+AE9</f>
        <v>0</v>
      </c>
      <c r="AI9" s="417"/>
      <c r="AJ9" s="417"/>
      <c r="AK9" s="417"/>
      <c r="AL9" s="417"/>
      <c r="AM9" s="472"/>
      <c r="AN9" s="240">
        <f t="shared" ref="AN9:AN38" si="6">FLOOR(AM9,1)</f>
        <v>0</v>
      </c>
      <c r="AO9" s="240">
        <f t="shared" ref="AO9:AO39" si="7">+AM9-AN9</f>
        <v>0</v>
      </c>
      <c r="AP9" s="240">
        <f t="shared" ref="AP9:AP39" si="8">+AO9/60*100</f>
        <v>0</v>
      </c>
      <c r="AQ9" s="242">
        <f>+AP9+AN9</f>
        <v>0</v>
      </c>
      <c r="AR9" s="245"/>
      <c r="AS9" s="245"/>
      <c r="AT9" s="245"/>
      <c r="AU9" s="419"/>
      <c r="AZ9" s="189"/>
      <c r="BA9" s="189"/>
      <c r="BB9" s="189"/>
      <c r="BC9" s="189"/>
      <c r="BD9" s="189"/>
      <c r="BE9" s="189"/>
      <c r="BG9" s="145">
        <f>IF($K9&gt;=0,+SUM(L$9:$L9)-$B9+Mar!$AZ$41+SUM(AQ$9:$AQ9)," ")+0.01</f>
        <v>3.3333333333678185E-3</v>
      </c>
      <c r="BH9" s="144">
        <f t="shared" ref="BH9:BH14" si="9">IF(BG9&lt;0,-1,1)</f>
        <v>1</v>
      </c>
      <c r="BI9" s="146">
        <f t="shared" ref="BI9:BI15" si="10">FLOOR(BG9,BH9)</f>
        <v>0</v>
      </c>
      <c r="BJ9" s="146">
        <f t="shared" ref="BJ9:BJ15" si="11">+BG9-BI9</f>
        <v>3.3333333333678185E-3</v>
      </c>
      <c r="BK9" s="146">
        <f t="shared" ref="BK9:BK14" si="12">+BJ9/100*60</f>
        <v>2.000000000020691E-3</v>
      </c>
      <c r="BL9" s="164">
        <f t="shared" ref="BL9:BL15" si="13">IF(BN9=2,+BK9+BI9,"")</f>
        <v>2.000000000020691E-3</v>
      </c>
      <c r="BM9" s="157">
        <f t="shared" ref="BM9:BM14" si="14">+P9</f>
        <v>6.24</v>
      </c>
      <c r="BN9">
        <f t="shared" ref="BN9:BN14" si="15">+IF(BM9="",1,2)</f>
        <v>2</v>
      </c>
    </row>
    <row r="10" spans="1:66" ht="15.95" customHeight="1" x14ac:dyDescent="0.25">
      <c r="A10" s="83"/>
      <c r="B10" s="84" t="str">
        <f>IF($I10&lt;&gt;"",IF(WEEKDAY($I10,2)&lt;6,IF(VLOOKUP(WEEKDAY($I10,2),InputUge,3)&gt;0,IF($A10="",VLOOKUP(WEEKDAY($I10,2),InputUge,3)+MAX(B$8:B9),IF($A10&lt;VLOOKUP(WEEKDAY($I10,2),InputUge,3),$A10+MAX(B$8:B9),VLOOKUP(WEEKDAY($I10,2),InputUge,3)+MAX(B$8:B9))),""),""),"")</f>
        <v/>
      </c>
      <c r="C10" s="144">
        <f t="shared" ref="C10:C39" si="16">IF(B10&lt;0,-1,1)</f>
        <v>1</v>
      </c>
      <c r="D10" s="146" t="e">
        <f t="shared" ref="D10:D39" si="17">FLOOR(B10,C10)</f>
        <v>#VALUE!</v>
      </c>
      <c r="E10" s="146" t="e">
        <f t="shared" ref="E10:E39" si="18">+B10-D10</f>
        <v>#VALUE!</v>
      </c>
      <c r="F10" s="146" t="e">
        <f t="shared" ref="F10:F39" si="19">+E10/100*60</f>
        <v>#VALUE!</v>
      </c>
      <c r="G10" s="261"/>
      <c r="H10" s="4">
        <v>2</v>
      </c>
      <c r="I10" s="16">
        <f t="shared" ref="I10:I39" si="20">+I9+1</f>
        <v>41335</v>
      </c>
      <c r="J10" s="6"/>
      <c r="K10" s="6"/>
      <c r="L10" s="5" t="str">
        <f>IF(K10&gt;0,ROUND(((K10-J10)*24)-SUM(BR10:BS10)+BT10,2)+IF(Fredagsfrokost="n",IF(WEEKDAY($I10,2)=5,IF(K10&gt;=0.5,IF(K10&lt;=13/24,0,0),0),0),0),IF(AW10&gt;0,AW10,""))</f>
        <v/>
      </c>
      <c r="M10" s="141" t="e">
        <f>FLOOR(L10,1)</f>
        <v>#VALUE!</v>
      </c>
      <c r="N10" s="141" t="e">
        <f>+L10-M10</f>
        <v>#VALUE!</v>
      </c>
      <c r="O10" s="141" t="e">
        <f>+N10/100*60</f>
        <v>#VALUE!</v>
      </c>
      <c r="P10" s="162" t="str">
        <f>IF(J10="","",O10+M10)</f>
        <v/>
      </c>
      <c r="Q10" s="591"/>
      <c r="R10" s="592"/>
      <c r="S10" s="592"/>
      <c r="T10" s="593"/>
      <c r="U10" s="417"/>
      <c r="V10" s="240">
        <f t="shared" si="0"/>
        <v>0</v>
      </c>
      <c r="W10" s="240">
        <f t="shared" si="1"/>
        <v>0</v>
      </c>
      <c r="X10" s="240">
        <f t="shared" si="2"/>
        <v>0</v>
      </c>
      <c r="Y10" s="243">
        <f t="shared" si="3"/>
        <v>0</v>
      </c>
      <c r="Z10" s="417"/>
      <c r="AA10" s="417"/>
      <c r="AB10" s="417"/>
      <c r="AC10" s="417"/>
      <c r="AD10" s="417"/>
      <c r="AE10" s="240">
        <f t="shared" si="4"/>
        <v>0</v>
      </c>
      <c r="AF10" s="240">
        <f t="shared" ref="AF10:AF39" si="21">+AD10-AE10</f>
        <v>0</v>
      </c>
      <c r="AG10" s="240">
        <f t="shared" si="5"/>
        <v>0</v>
      </c>
      <c r="AH10" s="243">
        <f>+AG10+AE10</f>
        <v>0</v>
      </c>
      <c r="AI10" s="417"/>
      <c r="AJ10" s="417"/>
      <c r="AK10" s="417"/>
      <c r="AL10" s="417"/>
      <c r="AM10" s="472"/>
      <c r="AN10" s="240">
        <f t="shared" si="6"/>
        <v>0</v>
      </c>
      <c r="AO10" s="240">
        <f t="shared" si="7"/>
        <v>0</v>
      </c>
      <c r="AP10" s="240">
        <f t="shared" si="8"/>
        <v>0</v>
      </c>
      <c r="AQ10" s="242">
        <f t="shared" ref="AQ10:AQ39" si="22">+AP10+AN10</f>
        <v>0</v>
      </c>
      <c r="AR10" s="245"/>
      <c r="AS10" s="245"/>
      <c r="AT10" s="245"/>
      <c r="AU10" s="419"/>
      <c r="AZ10" s="189"/>
      <c r="BA10" s="189"/>
      <c r="BB10" s="189"/>
      <c r="BC10" s="189"/>
      <c r="BD10" s="189"/>
      <c r="BE10" s="189"/>
      <c r="BG10" s="145" t="e">
        <f>IF($K10&gt;=0,+SUM(L$9:$L10)-$B10+Mar!$AZ$41+SUM(AQ$9:$AQ10)," ")</f>
        <v>#VALUE!</v>
      </c>
      <c r="BH10" s="144" t="e">
        <f t="shared" si="9"/>
        <v>#VALUE!</v>
      </c>
      <c r="BI10" s="146" t="e">
        <f t="shared" si="10"/>
        <v>#VALUE!</v>
      </c>
      <c r="BJ10" s="146" t="e">
        <f t="shared" si="11"/>
        <v>#VALUE!</v>
      </c>
      <c r="BK10" s="146" t="e">
        <f t="shared" si="12"/>
        <v>#VALUE!</v>
      </c>
      <c r="BL10" s="164" t="str">
        <f t="shared" si="13"/>
        <v/>
      </c>
      <c r="BM10" s="157" t="str">
        <f t="shared" si="14"/>
        <v/>
      </c>
      <c r="BN10">
        <f t="shared" si="15"/>
        <v>1</v>
      </c>
    </row>
    <row r="11" spans="1:66" ht="15.95" customHeight="1" x14ac:dyDescent="0.25">
      <c r="A11" s="83"/>
      <c r="B11" s="84" t="str">
        <f>IF($I11&lt;&gt;"",IF(WEEKDAY($I11,2)&lt;6,IF(VLOOKUP(WEEKDAY($I11,2),InputUge,3)&gt;0,IF($A11="",VLOOKUP(WEEKDAY($I11,2),InputUge,3)+MAX(B$8:B10),IF($A11&lt;VLOOKUP(WEEKDAY($I11,2),InputUge,3),$A11+MAX(B$8:B10),VLOOKUP(WEEKDAY($I11,2),InputUge,3)+MAX(B$8:B10))),""),""),"")</f>
        <v/>
      </c>
      <c r="C11" s="144">
        <f t="shared" si="16"/>
        <v>1</v>
      </c>
      <c r="D11" s="146" t="e">
        <f t="shared" si="17"/>
        <v>#VALUE!</v>
      </c>
      <c r="E11" s="146" t="e">
        <f t="shared" si="18"/>
        <v>#VALUE!</v>
      </c>
      <c r="F11" s="146" t="e">
        <f t="shared" si="19"/>
        <v>#VALUE!</v>
      </c>
      <c r="G11" s="261"/>
      <c r="H11" s="4">
        <v>3</v>
      </c>
      <c r="I11" s="16">
        <f t="shared" si="20"/>
        <v>41336</v>
      </c>
      <c r="J11" s="6"/>
      <c r="K11" s="6"/>
      <c r="L11" s="5"/>
      <c r="M11" s="141"/>
      <c r="N11" s="141"/>
      <c r="O11" s="141"/>
      <c r="P11" s="162"/>
      <c r="Q11" s="591"/>
      <c r="R11" s="592"/>
      <c r="S11" s="592"/>
      <c r="T11" s="593"/>
      <c r="U11" s="417"/>
      <c r="V11" s="240">
        <f t="shared" si="0"/>
        <v>0</v>
      </c>
      <c r="W11" s="240">
        <f t="shared" si="1"/>
        <v>0</v>
      </c>
      <c r="X11" s="240">
        <f t="shared" si="2"/>
        <v>0</v>
      </c>
      <c r="Y11" s="243">
        <f t="shared" si="3"/>
        <v>0</v>
      </c>
      <c r="Z11" s="417"/>
      <c r="AA11" s="417"/>
      <c r="AB11" s="417"/>
      <c r="AC11" s="417"/>
      <c r="AD11" s="417"/>
      <c r="AE11" s="240">
        <f t="shared" si="4"/>
        <v>0</v>
      </c>
      <c r="AF11" s="240">
        <f t="shared" si="21"/>
        <v>0</v>
      </c>
      <c r="AG11" s="240">
        <f t="shared" si="5"/>
        <v>0</v>
      </c>
      <c r="AH11" s="243">
        <f>+AG11+AE11</f>
        <v>0</v>
      </c>
      <c r="AI11" s="417"/>
      <c r="AJ11" s="417"/>
      <c r="AK11" s="417"/>
      <c r="AL11" s="417"/>
      <c r="AM11" s="472"/>
      <c r="AN11" s="240">
        <f t="shared" si="6"/>
        <v>0</v>
      </c>
      <c r="AO11" s="240">
        <f t="shared" si="7"/>
        <v>0</v>
      </c>
      <c r="AP11" s="240">
        <f t="shared" si="8"/>
        <v>0</v>
      </c>
      <c r="AQ11" s="242">
        <f t="shared" si="22"/>
        <v>0</v>
      </c>
      <c r="AR11" s="245"/>
      <c r="AS11" s="245"/>
      <c r="AT11" s="245"/>
      <c r="AU11" s="420"/>
      <c r="AZ11" s="189"/>
      <c r="BA11" s="189"/>
      <c r="BB11" s="189"/>
      <c r="BC11" s="189"/>
      <c r="BD11" s="189"/>
      <c r="BE11" s="189"/>
      <c r="BG11" s="145" t="e">
        <f>IF($K11&gt;=0,+SUM(L$9:$L11)-$B11+Mar!$AZ$41+SUM(AQ$9:$AQ11)," ")</f>
        <v>#VALUE!</v>
      </c>
      <c r="BH11" s="144" t="e">
        <f t="shared" si="9"/>
        <v>#VALUE!</v>
      </c>
      <c r="BI11" s="146" t="e">
        <f t="shared" si="10"/>
        <v>#VALUE!</v>
      </c>
      <c r="BJ11" s="146" t="e">
        <f t="shared" si="11"/>
        <v>#VALUE!</v>
      </c>
      <c r="BK11" s="146" t="e">
        <f t="shared" si="12"/>
        <v>#VALUE!</v>
      </c>
      <c r="BL11" s="164"/>
      <c r="BM11" s="157">
        <f t="shared" si="14"/>
        <v>0</v>
      </c>
      <c r="BN11">
        <f t="shared" si="15"/>
        <v>2</v>
      </c>
    </row>
    <row r="12" spans="1:66" ht="15.95" customHeight="1" x14ac:dyDescent="0.25">
      <c r="A12" s="83"/>
      <c r="B12" s="84">
        <f>IF($I12&lt;&gt;"",IF(WEEKDAY($I12,2)&lt;6,IF(VLOOKUP(WEEKDAY($I12,2),InputUge,3)&gt;0,IF($A12="",VLOOKUP(WEEKDAY($I12,2),InputUge,3)+MAX(B$8:B11),IF($A12&lt;VLOOKUP(WEEKDAY($I12,2),InputUge,3),$A12+MAX(B$8:B11),VLOOKUP(WEEKDAY($I12,2),InputUge,3)+MAX(B$8:B11))),""),""),"")</f>
        <v>13.463333333333335</v>
      </c>
      <c r="C12" s="144">
        <f t="shared" si="16"/>
        <v>1</v>
      </c>
      <c r="D12" s="146">
        <f t="shared" si="17"/>
        <v>13</v>
      </c>
      <c r="E12" s="146">
        <f t="shared" si="18"/>
        <v>0.46333333333333471</v>
      </c>
      <c r="F12" s="146">
        <f t="shared" si="19"/>
        <v>0.2780000000000008</v>
      </c>
      <c r="G12" s="261">
        <f t="shared" ref="G12:G37" si="23">+F12+D12</f>
        <v>13.278</v>
      </c>
      <c r="H12" s="4">
        <v>4</v>
      </c>
      <c r="I12" s="16">
        <f t="shared" si="20"/>
        <v>41337</v>
      </c>
      <c r="J12" s="6">
        <v>0.34791666666666665</v>
      </c>
      <c r="K12" s="6">
        <v>0.64236111111111105</v>
      </c>
      <c r="L12" s="5">
        <f t="shared" ref="L12:L17" si="24">IF(K12&gt;0,ROUND(((K12-J12)*24)-SUM(BR12:BS12)+BT12,2)+IF(Fredagsfrokost="n",IF(WEEKDAY($I12,2)=5,IF(K12&gt;=0.5,IF(K12&lt;=13/24,0,0),0),0),0),IF(AW12&gt;0,AW12,""))</f>
        <v>7.07</v>
      </c>
      <c r="M12" s="141">
        <f t="shared" ref="M12:M17" si="25">FLOOR(L12,1)</f>
        <v>7</v>
      </c>
      <c r="N12" s="141">
        <f t="shared" ref="N12:N17" si="26">+L12-M12</f>
        <v>7.0000000000000284E-2</v>
      </c>
      <c r="O12" s="141">
        <f t="shared" ref="O12:O17" si="27">+N12/100*60</f>
        <v>4.2000000000000169E-2</v>
      </c>
      <c r="P12" s="162">
        <f t="shared" ref="P12:P17" si="28">IF(J12="","",O12+M12)</f>
        <v>7.0419999999999998</v>
      </c>
      <c r="Q12" s="591"/>
      <c r="R12" s="592"/>
      <c r="S12" s="592"/>
      <c r="T12" s="593"/>
      <c r="U12" s="417"/>
      <c r="V12" s="240">
        <f t="shared" si="0"/>
        <v>0</v>
      </c>
      <c r="W12" s="240">
        <f t="shared" si="1"/>
        <v>0</v>
      </c>
      <c r="X12" s="240">
        <f t="shared" si="2"/>
        <v>0</v>
      </c>
      <c r="Y12" s="243">
        <f t="shared" si="3"/>
        <v>0</v>
      </c>
      <c r="Z12" s="417"/>
      <c r="AA12" s="417"/>
      <c r="AB12" s="417"/>
      <c r="AC12" s="417"/>
      <c r="AD12" s="417"/>
      <c r="AE12" s="240">
        <f t="shared" si="4"/>
        <v>0</v>
      </c>
      <c r="AF12" s="240">
        <f t="shared" si="21"/>
        <v>0</v>
      </c>
      <c r="AG12" s="240">
        <f t="shared" si="5"/>
        <v>0</v>
      </c>
      <c r="AH12" s="243">
        <f>+AG12+AE12</f>
        <v>0</v>
      </c>
      <c r="AI12" s="417"/>
      <c r="AJ12" s="417"/>
      <c r="AK12" s="417"/>
      <c r="AL12" s="417"/>
      <c r="AM12" s="472"/>
      <c r="AN12" s="240">
        <f t="shared" si="6"/>
        <v>0</v>
      </c>
      <c r="AO12" s="240">
        <f t="shared" si="7"/>
        <v>0</v>
      </c>
      <c r="AP12" s="240">
        <f t="shared" si="8"/>
        <v>0</v>
      </c>
      <c r="AQ12" s="242">
        <f t="shared" si="22"/>
        <v>0</v>
      </c>
      <c r="AR12" s="245"/>
      <c r="AS12" s="245"/>
      <c r="AT12" s="245"/>
      <c r="AU12" s="420"/>
      <c r="AZ12" s="189"/>
      <c r="BA12" s="189"/>
      <c r="BB12" s="189"/>
      <c r="BC12" s="189"/>
      <c r="BD12" s="189"/>
      <c r="BE12" s="189"/>
      <c r="BG12" s="145">
        <f>IF($K12&gt;=0,+SUM(L$9:$L12)-$B12+Mar!$AZ$41+SUM(AQ$9:$AQ12)," ")</f>
        <v>3.3750779948604759E-14</v>
      </c>
      <c r="BH12" s="144">
        <f t="shared" si="9"/>
        <v>1</v>
      </c>
      <c r="BI12" s="146">
        <f t="shared" si="10"/>
        <v>0</v>
      </c>
      <c r="BJ12" s="146">
        <f t="shared" si="11"/>
        <v>3.3750779948604759E-14</v>
      </c>
      <c r="BK12" s="146">
        <f t="shared" si="12"/>
        <v>2.0250467969162856E-14</v>
      </c>
      <c r="BL12" s="164">
        <f t="shared" si="13"/>
        <v>2.0250467969162856E-14</v>
      </c>
      <c r="BM12" s="157">
        <f t="shared" si="14"/>
        <v>7.0419999999999998</v>
      </c>
      <c r="BN12">
        <f t="shared" si="15"/>
        <v>2</v>
      </c>
    </row>
    <row r="13" spans="1:66" ht="15.95" customHeight="1" x14ac:dyDescent="0.25">
      <c r="A13" s="83"/>
      <c r="B13" s="84">
        <f>IF($I13&lt;&gt;"",IF(WEEKDAY($I13,2)&lt;6,IF(VLOOKUP(WEEKDAY($I13,2),InputUge,3)&gt;0,IF($A13="",VLOOKUP(WEEKDAY($I13,2),InputUge,3)+MAX(B$8:B12),IF($A13&lt;VLOOKUP(WEEKDAY($I13,2),InputUge,3),$A13+MAX(B$8:B12),VLOOKUP(WEEKDAY($I13,2),InputUge,3)+MAX(B$8:B12))),""),""),"")</f>
        <v>20.53</v>
      </c>
      <c r="C13" s="144">
        <f t="shared" si="16"/>
        <v>1</v>
      </c>
      <c r="D13" s="146">
        <f t="shared" si="17"/>
        <v>20</v>
      </c>
      <c r="E13" s="146">
        <f t="shared" si="18"/>
        <v>0.53000000000000114</v>
      </c>
      <c r="F13" s="146">
        <f t="shared" si="19"/>
        <v>0.31800000000000067</v>
      </c>
      <c r="G13" s="261">
        <f t="shared" si="23"/>
        <v>20.318000000000001</v>
      </c>
      <c r="H13" s="4">
        <v>5</v>
      </c>
      <c r="I13" s="16">
        <f t="shared" si="20"/>
        <v>41338</v>
      </c>
      <c r="J13" s="6">
        <v>0.34791666666666665</v>
      </c>
      <c r="K13" s="6">
        <v>0.64236111111111105</v>
      </c>
      <c r="L13" s="5">
        <f t="shared" si="24"/>
        <v>7.07</v>
      </c>
      <c r="M13" s="141">
        <f t="shared" si="25"/>
        <v>7</v>
      </c>
      <c r="N13" s="141">
        <f t="shared" si="26"/>
        <v>7.0000000000000284E-2</v>
      </c>
      <c r="O13" s="141">
        <f t="shared" si="27"/>
        <v>4.2000000000000169E-2</v>
      </c>
      <c r="P13" s="162">
        <f t="shared" si="28"/>
        <v>7.0419999999999998</v>
      </c>
      <c r="Q13" s="591"/>
      <c r="R13" s="592"/>
      <c r="S13" s="592"/>
      <c r="T13" s="593"/>
      <c r="U13" s="417"/>
      <c r="V13" s="240">
        <f t="shared" si="0"/>
        <v>0</v>
      </c>
      <c r="W13" s="240">
        <f t="shared" si="1"/>
        <v>0</v>
      </c>
      <c r="X13" s="240">
        <f t="shared" si="2"/>
        <v>0</v>
      </c>
      <c r="Y13" s="243">
        <f t="shared" si="3"/>
        <v>0</v>
      </c>
      <c r="Z13" s="417"/>
      <c r="AA13" s="417"/>
      <c r="AB13" s="417"/>
      <c r="AC13" s="417"/>
      <c r="AD13" s="417"/>
      <c r="AE13" s="240">
        <f t="shared" si="4"/>
        <v>0</v>
      </c>
      <c r="AF13" s="240">
        <f t="shared" si="21"/>
        <v>0</v>
      </c>
      <c r="AG13" s="240">
        <f t="shared" si="5"/>
        <v>0</v>
      </c>
      <c r="AH13" s="243">
        <f>+AG13+AE13</f>
        <v>0</v>
      </c>
      <c r="AI13" s="417"/>
      <c r="AJ13" s="417"/>
      <c r="AK13" s="417"/>
      <c r="AL13" s="417"/>
      <c r="AM13" s="472"/>
      <c r="AN13" s="240">
        <f t="shared" si="6"/>
        <v>0</v>
      </c>
      <c r="AO13" s="240">
        <f t="shared" si="7"/>
        <v>0</v>
      </c>
      <c r="AP13" s="240">
        <f t="shared" si="8"/>
        <v>0</v>
      </c>
      <c r="AQ13" s="242">
        <f t="shared" si="22"/>
        <v>0</v>
      </c>
      <c r="AR13" s="245"/>
      <c r="AS13" s="245"/>
      <c r="AT13" s="245"/>
      <c r="AU13" s="240"/>
      <c r="AZ13" s="189"/>
      <c r="BA13" s="189"/>
      <c r="BB13" s="189"/>
      <c r="BC13" s="189"/>
      <c r="BD13" s="189"/>
      <c r="BE13" s="189"/>
      <c r="BG13" s="145">
        <f>IF($K13&gt;=0,+SUM(L$9:$L13)-$B13+Mar!$AZ$41+SUM(AQ$9:$AQ13)," ")</f>
        <v>3.3333333333658288E-3</v>
      </c>
      <c r="BH13" s="144">
        <f t="shared" si="9"/>
        <v>1</v>
      </c>
      <c r="BI13" s="146">
        <f t="shared" si="10"/>
        <v>0</v>
      </c>
      <c r="BJ13" s="146">
        <f t="shared" si="11"/>
        <v>3.3333333333658288E-3</v>
      </c>
      <c r="BK13" s="146">
        <f t="shared" si="12"/>
        <v>2.0000000000194975E-3</v>
      </c>
      <c r="BL13" s="164">
        <f t="shared" si="13"/>
        <v>2.0000000000194975E-3</v>
      </c>
      <c r="BM13" s="157">
        <f t="shared" si="14"/>
        <v>7.0419999999999998</v>
      </c>
      <c r="BN13">
        <f t="shared" si="15"/>
        <v>2</v>
      </c>
    </row>
    <row r="14" spans="1:66" ht="15.95" customHeight="1" x14ac:dyDescent="0.25">
      <c r="A14" s="83"/>
      <c r="B14" s="84">
        <f>IF($I14&lt;&gt;"",IF(WEEKDAY($I14,2)&lt;6,IF(VLOOKUP(WEEKDAY($I14,2),InputUge,3)&gt;0,IF($A14="",VLOOKUP(WEEKDAY($I14,2),InputUge,3)+MAX(B$8:B13),IF($A14&lt;VLOOKUP(WEEKDAY($I14,2),InputUge,3),$A14+MAX(B$8:B13),VLOOKUP(WEEKDAY($I14,2),InputUge,3)+MAX(B$8:B13))),""),""),"")</f>
        <v>27.596666666666668</v>
      </c>
      <c r="C14" s="144">
        <f t="shared" si="16"/>
        <v>1</v>
      </c>
      <c r="D14" s="146">
        <f t="shared" si="17"/>
        <v>27</v>
      </c>
      <c r="E14" s="146">
        <f t="shared" si="18"/>
        <v>0.59666666666666757</v>
      </c>
      <c r="F14" s="146">
        <f t="shared" si="19"/>
        <v>0.35800000000000054</v>
      </c>
      <c r="G14" s="261">
        <f t="shared" si="23"/>
        <v>27.358000000000001</v>
      </c>
      <c r="H14" s="4">
        <v>6</v>
      </c>
      <c r="I14" s="16">
        <f t="shared" si="20"/>
        <v>41339</v>
      </c>
      <c r="J14" s="6">
        <v>0.34791666666666665</v>
      </c>
      <c r="K14" s="6">
        <v>0.64236111111111105</v>
      </c>
      <c r="L14" s="5">
        <f t="shared" si="24"/>
        <v>7.07</v>
      </c>
      <c r="M14" s="141">
        <f t="shared" si="25"/>
        <v>7</v>
      </c>
      <c r="N14" s="141">
        <f t="shared" si="26"/>
        <v>7.0000000000000284E-2</v>
      </c>
      <c r="O14" s="141">
        <f t="shared" si="27"/>
        <v>4.2000000000000169E-2</v>
      </c>
      <c r="P14" s="162">
        <f t="shared" si="28"/>
        <v>7.0419999999999998</v>
      </c>
      <c r="Q14" s="591"/>
      <c r="R14" s="592"/>
      <c r="S14" s="592"/>
      <c r="T14" s="593"/>
      <c r="U14" s="417"/>
      <c r="V14" s="240">
        <f t="shared" si="0"/>
        <v>0</v>
      </c>
      <c r="W14" s="240">
        <f t="shared" si="1"/>
        <v>0</v>
      </c>
      <c r="X14" s="240">
        <f t="shared" si="2"/>
        <v>0</v>
      </c>
      <c r="Y14" s="243">
        <f t="shared" si="3"/>
        <v>0</v>
      </c>
      <c r="Z14" s="417"/>
      <c r="AA14" s="417"/>
      <c r="AB14" s="417"/>
      <c r="AC14" s="417"/>
      <c r="AD14" s="417"/>
      <c r="AE14" s="240">
        <f t="shared" si="4"/>
        <v>0</v>
      </c>
      <c r="AF14" s="240">
        <f t="shared" si="21"/>
        <v>0</v>
      </c>
      <c r="AG14" s="240">
        <f t="shared" si="5"/>
        <v>0</v>
      </c>
      <c r="AH14" s="243">
        <f t="shared" ref="AH14:AH39" si="29">+AG14+AE14</f>
        <v>0</v>
      </c>
      <c r="AI14" s="417"/>
      <c r="AJ14" s="417"/>
      <c r="AK14" s="417"/>
      <c r="AL14" s="417"/>
      <c r="AM14" s="472"/>
      <c r="AN14" s="240">
        <f t="shared" si="6"/>
        <v>0</v>
      </c>
      <c r="AO14" s="240">
        <f t="shared" si="7"/>
        <v>0</v>
      </c>
      <c r="AP14" s="240">
        <f t="shared" si="8"/>
        <v>0</v>
      </c>
      <c r="AQ14" s="242">
        <f t="shared" si="22"/>
        <v>0</v>
      </c>
      <c r="AR14" s="245"/>
      <c r="AS14" s="245"/>
      <c r="AT14" s="245"/>
      <c r="AU14" s="420"/>
      <c r="AZ14" s="189"/>
      <c r="BA14" s="189"/>
      <c r="BB14" s="189"/>
      <c r="BC14" s="189"/>
      <c r="BD14" s="189"/>
      <c r="BE14" s="189"/>
      <c r="BG14" s="145">
        <f>IF($K14&gt;=0,+SUM(L$9:$L14)-$B14+Mar!$AZ$41+SUM(AQ$9:$AQ14)," ")</f>
        <v>6.6666666666996832E-3</v>
      </c>
      <c r="BH14" s="144">
        <f t="shared" si="9"/>
        <v>1</v>
      </c>
      <c r="BI14" s="146">
        <f t="shared" si="10"/>
        <v>0</v>
      </c>
      <c r="BJ14" s="146">
        <f t="shared" si="11"/>
        <v>6.6666666666996832E-3</v>
      </c>
      <c r="BK14" s="146">
        <f t="shared" si="12"/>
        <v>4.0000000000198106E-3</v>
      </c>
      <c r="BL14" s="164">
        <f>IF(BN14=2,+BK14+BI14,"")</f>
        <v>4.0000000000198106E-3</v>
      </c>
      <c r="BM14" s="157">
        <f t="shared" si="14"/>
        <v>7.0419999999999998</v>
      </c>
      <c r="BN14">
        <f t="shared" si="15"/>
        <v>2</v>
      </c>
    </row>
    <row r="15" spans="1:66" ht="15.95" customHeight="1" x14ac:dyDescent="0.25">
      <c r="A15" s="83"/>
      <c r="B15" s="84">
        <f>IF($I15&lt;&gt;"",IF(WEEKDAY($I15,2)&lt;6,IF(VLOOKUP(WEEKDAY($I15,2),InputUge,3)&gt;0,IF($A15="",VLOOKUP(WEEKDAY($I15,2),InputUge,3)+MAX(B$8:B14),IF($A15&lt;VLOOKUP(WEEKDAY($I15,2),InputUge,3),$A15+MAX(B$8:B14),VLOOKUP(WEEKDAY($I15,2),InputUge,3)+MAX(B$8:B14))),""),""),"")</f>
        <v>37.006666666666668</v>
      </c>
      <c r="C15" s="144">
        <f t="shared" si="16"/>
        <v>1</v>
      </c>
      <c r="D15" s="146">
        <f t="shared" si="17"/>
        <v>37</v>
      </c>
      <c r="E15" s="146">
        <f t="shared" si="18"/>
        <v>6.6666666666677088E-3</v>
      </c>
      <c r="F15" s="146">
        <f t="shared" si="19"/>
        <v>4.0000000000006255E-3</v>
      </c>
      <c r="G15" s="261">
        <f t="shared" si="23"/>
        <v>37.003999999999998</v>
      </c>
      <c r="H15" s="4">
        <v>7</v>
      </c>
      <c r="I15" s="16">
        <f t="shared" si="20"/>
        <v>41340</v>
      </c>
      <c r="J15" s="6">
        <v>0.34791666666666665</v>
      </c>
      <c r="K15" s="6">
        <v>0.73958333333333337</v>
      </c>
      <c r="L15" s="5">
        <f t="shared" si="24"/>
        <v>9.4</v>
      </c>
      <c r="M15" s="141">
        <f t="shared" si="25"/>
        <v>9</v>
      </c>
      <c r="N15" s="141">
        <f t="shared" si="26"/>
        <v>0.40000000000000036</v>
      </c>
      <c r="O15" s="141">
        <f t="shared" si="27"/>
        <v>0.24000000000000021</v>
      </c>
      <c r="P15" s="162">
        <f t="shared" si="28"/>
        <v>9.24</v>
      </c>
      <c r="Q15" s="591"/>
      <c r="R15" s="592"/>
      <c r="S15" s="592"/>
      <c r="T15" s="593"/>
      <c r="U15" s="417"/>
      <c r="V15" s="240">
        <f t="shared" si="0"/>
        <v>0</v>
      </c>
      <c r="W15" s="240">
        <f t="shared" ref="W15:W39" si="30">+U15-V15</f>
        <v>0</v>
      </c>
      <c r="X15" s="240">
        <f t="shared" ref="X15:X39" si="31">+W15/60*100</f>
        <v>0</v>
      </c>
      <c r="Y15" s="243">
        <f t="shared" ref="Y15:Y39" si="32">+X15+V15</f>
        <v>0</v>
      </c>
      <c r="Z15" s="417"/>
      <c r="AA15" s="417"/>
      <c r="AB15" s="417"/>
      <c r="AC15" s="417"/>
      <c r="AD15" s="417"/>
      <c r="AE15" s="240">
        <f t="shared" si="4"/>
        <v>0</v>
      </c>
      <c r="AF15" s="240">
        <f t="shared" si="21"/>
        <v>0</v>
      </c>
      <c r="AG15" s="240">
        <f t="shared" si="5"/>
        <v>0</v>
      </c>
      <c r="AH15" s="243">
        <f t="shared" si="29"/>
        <v>0</v>
      </c>
      <c r="AI15" s="417"/>
      <c r="AJ15" s="417"/>
      <c r="AK15" s="417"/>
      <c r="AL15" s="417"/>
      <c r="AM15" s="472"/>
      <c r="AN15" s="240">
        <f t="shared" si="6"/>
        <v>0</v>
      </c>
      <c r="AO15" s="240">
        <f t="shared" si="7"/>
        <v>0</v>
      </c>
      <c r="AP15" s="240">
        <f t="shared" si="8"/>
        <v>0</v>
      </c>
      <c r="AQ15" s="242">
        <f t="shared" si="22"/>
        <v>0</v>
      </c>
      <c r="AR15" s="245"/>
      <c r="AS15" s="245"/>
      <c r="AT15" s="245"/>
      <c r="AU15" s="420"/>
      <c r="AZ15" s="189"/>
      <c r="BA15" s="189"/>
      <c r="BB15" s="189"/>
      <c r="BC15" s="189"/>
      <c r="BD15" s="189"/>
      <c r="BE15" s="189"/>
      <c r="BG15" s="145">
        <f>IF($K15&gt;=0,+SUM(L$9:$L15)-$B15+Mar!$AZ$41+SUM(AQ$9:$AQ15)," ")+0.01</f>
        <v>6.6666666666981202E-3</v>
      </c>
      <c r="BH15" s="144">
        <f t="shared" ref="BH15:BH22" si="33">IF(BG15&lt;0,-1,1)</f>
        <v>1</v>
      </c>
      <c r="BI15" s="146">
        <f t="shared" si="10"/>
        <v>0</v>
      </c>
      <c r="BJ15" s="146">
        <f t="shared" si="11"/>
        <v>6.6666666666981202E-3</v>
      </c>
      <c r="BK15" s="146">
        <f t="shared" ref="BK15:BK22" si="34">+BJ15/100*60</f>
        <v>4.0000000000188721E-3</v>
      </c>
      <c r="BL15" s="164">
        <f t="shared" si="13"/>
        <v>4.0000000000188721E-3</v>
      </c>
      <c r="BM15" s="157">
        <f t="shared" ref="BM15:BM37" si="35">+P15</f>
        <v>9.24</v>
      </c>
      <c r="BN15">
        <f t="shared" ref="BN15:BN39" si="36">+IF(BM15="",1,2)</f>
        <v>2</v>
      </c>
    </row>
    <row r="16" spans="1:66" ht="15.95" customHeight="1" x14ac:dyDescent="0.25">
      <c r="A16" s="83"/>
      <c r="B16" s="84">
        <f>IF($I16&lt;&gt;"",IF(WEEKDAY($I16,2)&lt;6,IF(VLOOKUP(WEEKDAY($I16,2),InputUge,3)&gt;0,IF($A16="",VLOOKUP(WEEKDAY($I16,2),InputUge,3)+MAX(B$8:B15),IF($A16&lt;VLOOKUP(WEEKDAY($I16,2),InputUge,3),$A16+MAX(B$8:B15),VLOOKUP(WEEKDAY($I16,2),InputUge,3)+MAX(B$8:B15))),""),""),"")</f>
        <v>43.406666666666666</v>
      </c>
      <c r="C16" s="144">
        <f t="shared" si="16"/>
        <v>1</v>
      </c>
      <c r="D16" s="146">
        <f t="shared" si="17"/>
        <v>43</v>
      </c>
      <c r="E16" s="146">
        <f t="shared" si="18"/>
        <v>0.40666666666666629</v>
      </c>
      <c r="F16" s="146">
        <f t="shared" si="19"/>
        <v>0.24399999999999977</v>
      </c>
      <c r="G16" s="261">
        <f t="shared" si="23"/>
        <v>43.244</v>
      </c>
      <c r="H16" s="4">
        <v>8</v>
      </c>
      <c r="I16" s="16">
        <f t="shared" si="20"/>
        <v>41341</v>
      </c>
      <c r="J16" s="6">
        <v>0.34791666666666665</v>
      </c>
      <c r="K16" s="6">
        <v>0.61458333333333337</v>
      </c>
      <c r="L16" s="5">
        <f t="shared" si="24"/>
        <v>6.4</v>
      </c>
      <c r="M16" s="141">
        <f t="shared" si="25"/>
        <v>6</v>
      </c>
      <c r="N16" s="141">
        <f t="shared" si="26"/>
        <v>0.40000000000000036</v>
      </c>
      <c r="O16" s="141">
        <f t="shared" si="27"/>
        <v>0.24000000000000021</v>
      </c>
      <c r="P16" s="162">
        <f t="shared" si="28"/>
        <v>6.24</v>
      </c>
      <c r="Q16" s="591"/>
      <c r="R16" s="592"/>
      <c r="S16" s="592"/>
      <c r="T16" s="593"/>
      <c r="U16" s="417"/>
      <c r="V16" s="240">
        <f t="shared" ref="V16:V39" si="37">FLOOR(U16,1)</f>
        <v>0</v>
      </c>
      <c r="W16" s="240">
        <f t="shared" si="30"/>
        <v>0</v>
      </c>
      <c r="X16" s="240">
        <f t="shared" si="31"/>
        <v>0</v>
      </c>
      <c r="Y16" s="243">
        <f t="shared" si="32"/>
        <v>0</v>
      </c>
      <c r="Z16" s="417"/>
      <c r="AA16" s="417"/>
      <c r="AB16" s="417"/>
      <c r="AC16" s="417"/>
      <c r="AD16" s="417"/>
      <c r="AE16" s="240">
        <f t="shared" si="4"/>
        <v>0</v>
      </c>
      <c r="AF16" s="240">
        <f t="shared" si="21"/>
        <v>0</v>
      </c>
      <c r="AG16" s="240">
        <f t="shared" si="5"/>
        <v>0</v>
      </c>
      <c r="AH16" s="243">
        <f t="shared" si="29"/>
        <v>0</v>
      </c>
      <c r="AI16" s="417"/>
      <c r="AJ16" s="417"/>
      <c r="AK16" s="417"/>
      <c r="AL16" s="417"/>
      <c r="AM16" s="472"/>
      <c r="AN16" s="240">
        <f t="shared" si="6"/>
        <v>0</v>
      </c>
      <c r="AO16" s="240">
        <f t="shared" si="7"/>
        <v>0</v>
      </c>
      <c r="AP16" s="240">
        <f t="shared" si="8"/>
        <v>0</v>
      </c>
      <c r="AQ16" s="242">
        <f t="shared" si="22"/>
        <v>0</v>
      </c>
      <c r="AR16" s="245"/>
      <c r="AS16" s="245"/>
      <c r="AT16" s="245"/>
      <c r="AU16" s="420"/>
      <c r="AZ16" s="189"/>
      <c r="BA16" s="189"/>
      <c r="BB16" s="189"/>
      <c r="BC16" s="189"/>
      <c r="BD16" s="189"/>
      <c r="BE16" s="189"/>
      <c r="BG16" s="145">
        <f>IF($K16&gt;=0,+SUM(L$9:$L16)-$B16+Mar!$AZ$41+SUM(AQ$9:$AQ16)," ")+0.01</f>
        <v>6.6666666666981202E-3</v>
      </c>
      <c r="BH16" s="144">
        <f t="shared" si="33"/>
        <v>1</v>
      </c>
      <c r="BI16" s="146">
        <f t="shared" ref="BI16:BI22" si="38">FLOOR(BG16,BH16)</f>
        <v>0</v>
      </c>
      <c r="BJ16" s="146">
        <f t="shared" ref="BJ16:BJ22" si="39">+BG16-BI16</f>
        <v>6.6666666666981202E-3</v>
      </c>
      <c r="BK16" s="146">
        <f t="shared" si="34"/>
        <v>4.0000000000188721E-3</v>
      </c>
      <c r="BL16" s="164">
        <f>IF(BN16=2,+BK16+BI16,"")</f>
        <v>4.0000000000188721E-3</v>
      </c>
      <c r="BM16" s="157">
        <f t="shared" si="35"/>
        <v>6.24</v>
      </c>
      <c r="BN16">
        <f t="shared" si="36"/>
        <v>2</v>
      </c>
    </row>
    <row r="17" spans="1:66" ht="15.95" customHeight="1" x14ac:dyDescent="0.25">
      <c r="A17" s="83"/>
      <c r="B17" s="84" t="str">
        <f>IF($I17&lt;&gt;"",IF(WEEKDAY($I17,2)&lt;6,IF(VLOOKUP(WEEKDAY($I17,2),InputUge,3)&gt;0,IF($A17="",VLOOKUP(WEEKDAY($I17,2),InputUge,3)+MAX(B$8:B16),IF($A17&lt;VLOOKUP(WEEKDAY($I17,2),InputUge,3),$A17+MAX(B$8:B16),VLOOKUP(WEEKDAY($I17,2),InputUge,3)+MAX(B$8:B16))),""),""),"")</f>
        <v/>
      </c>
      <c r="C17" s="144">
        <f t="shared" si="16"/>
        <v>1</v>
      </c>
      <c r="D17" s="146" t="e">
        <f t="shared" si="17"/>
        <v>#VALUE!</v>
      </c>
      <c r="E17" s="146" t="e">
        <f t="shared" si="18"/>
        <v>#VALUE!</v>
      </c>
      <c r="F17" s="146" t="e">
        <f t="shared" si="19"/>
        <v>#VALUE!</v>
      </c>
      <c r="G17" s="261"/>
      <c r="H17" s="4">
        <v>9</v>
      </c>
      <c r="I17" s="16">
        <f t="shared" si="20"/>
        <v>41342</v>
      </c>
      <c r="J17" s="6"/>
      <c r="K17" s="6"/>
      <c r="L17" s="5" t="str">
        <f t="shared" si="24"/>
        <v/>
      </c>
      <c r="M17" s="141" t="e">
        <f t="shared" si="25"/>
        <v>#VALUE!</v>
      </c>
      <c r="N17" s="141" t="e">
        <f t="shared" si="26"/>
        <v>#VALUE!</v>
      </c>
      <c r="O17" s="141" t="e">
        <f t="shared" si="27"/>
        <v>#VALUE!</v>
      </c>
      <c r="P17" s="162" t="str">
        <f t="shared" si="28"/>
        <v/>
      </c>
      <c r="Q17" s="591"/>
      <c r="R17" s="592"/>
      <c r="S17" s="592"/>
      <c r="T17" s="593"/>
      <c r="U17" s="417"/>
      <c r="V17" s="240">
        <f t="shared" si="37"/>
        <v>0</v>
      </c>
      <c r="W17" s="240">
        <f t="shared" si="30"/>
        <v>0</v>
      </c>
      <c r="X17" s="240">
        <f t="shared" si="31"/>
        <v>0</v>
      </c>
      <c r="Y17" s="243">
        <f t="shared" si="32"/>
        <v>0</v>
      </c>
      <c r="Z17" s="417"/>
      <c r="AA17" s="417"/>
      <c r="AB17" s="417"/>
      <c r="AC17" s="417"/>
      <c r="AD17" s="417"/>
      <c r="AE17" s="240">
        <f t="shared" si="4"/>
        <v>0</v>
      </c>
      <c r="AF17" s="240">
        <f t="shared" si="21"/>
        <v>0</v>
      </c>
      <c r="AG17" s="240">
        <f t="shared" si="5"/>
        <v>0</v>
      </c>
      <c r="AH17" s="243">
        <f t="shared" si="29"/>
        <v>0</v>
      </c>
      <c r="AI17" s="417"/>
      <c r="AJ17" s="417"/>
      <c r="AK17" s="417"/>
      <c r="AL17" s="417"/>
      <c r="AM17" s="472"/>
      <c r="AN17" s="240">
        <f t="shared" si="6"/>
        <v>0</v>
      </c>
      <c r="AO17" s="240">
        <f t="shared" si="7"/>
        <v>0</v>
      </c>
      <c r="AP17" s="240">
        <f t="shared" si="8"/>
        <v>0</v>
      </c>
      <c r="AQ17" s="242">
        <f t="shared" si="22"/>
        <v>0</v>
      </c>
      <c r="AR17" s="245"/>
      <c r="AS17" s="245"/>
      <c r="AT17" s="245"/>
      <c r="AU17" s="420"/>
      <c r="AZ17" s="189"/>
      <c r="BA17" s="189"/>
      <c r="BB17" s="189"/>
      <c r="BC17" s="189"/>
      <c r="BD17" s="189"/>
      <c r="BE17" s="189"/>
      <c r="BG17" s="145" t="e">
        <f>IF($K17&gt;=0,+SUM(L$9:$L17)-$B17+Mar!$AZ$41+SUM(AQ$9:$AQ17)," ")</f>
        <v>#VALUE!</v>
      </c>
      <c r="BH17" s="144" t="e">
        <f t="shared" si="33"/>
        <v>#VALUE!</v>
      </c>
      <c r="BI17" s="146" t="e">
        <f t="shared" si="38"/>
        <v>#VALUE!</v>
      </c>
      <c r="BJ17" s="146" t="e">
        <f t="shared" si="39"/>
        <v>#VALUE!</v>
      </c>
      <c r="BK17" s="146" t="e">
        <f t="shared" si="34"/>
        <v>#VALUE!</v>
      </c>
      <c r="BL17" s="164" t="str">
        <f>IF(BN17=2,+BK17+BI17,"")</f>
        <v/>
      </c>
      <c r="BM17" s="157" t="str">
        <f t="shared" si="35"/>
        <v/>
      </c>
      <c r="BN17">
        <f t="shared" si="36"/>
        <v>1</v>
      </c>
    </row>
    <row r="18" spans="1:66" ht="15.95" customHeight="1" x14ac:dyDescent="0.25">
      <c r="A18" s="83"/>
      <c r="B18" s="84" t="str">
        <f>IF($I18&lt;&gt;"",IF(WEEKDAY($I18,2)&lt;6,IF(VLOOKUP(WEEKDAY($I18,2),InputUge,3)&gt;0,IF($A18="",VLOOKUP(WEEKDAY($I18,2),InputUge,3)+MAX(B$8:B17),IF($A18&lt;VLOOKUP(WEEKDAY($I18,2),InputUge,3),$A18+MAX(B$8:B17),VLOOKUP(WEEKDAY($I18,2),InputUge,3)+MAX(B$8:B17))),""),""),"")</f>
        <v/>
      </c>
      <c r="C18" s="144">
        <f t="shared" si="16"/>
        <v>1</v>
      </c>
      <c r="D18" s="146" t="e">
        <f t="shared" si="17"/>
        <v>#VALUE!</v>
      </c>
      <c r="E18" s="146" t="e">
        <f t="shared" si="18"/>
        <v>#VALUE!</v>
      </c>
      <c r="F18" s="146" t="e">
        <f t="shared" si="19"/>
        <v>#VALUE!</v>
      </c>
      <c r="G18" s="261"/>
      <c r="H18" s="4">
        <v>10</v>
      </c>
      <c r="I18" s="16">
        <f t="shared" si="20"/>
        <v>41343</v>
      </c>
      <c r="J18" s="6"/>
      <c r="K18" s="6"/>
      <c r="L18" s="5"/>
      <c r="M18" s="141"/>
      <c r="N18" s="141"/>
      <c r="O18" s="141"/>
      <c r="P18" s="162"/>
      <c r="Q18" s="591"/>
      <c r="R18" s="592"/>
      <c r="S18" s="592"/>
      <c r="T18" s="593"/>
      <c r="U18" s="417"/>
      <c r="V18" s="240">
        <f t="shared" si="37"/>
        <v>0</v>
      </c>
      <c r="W18" s="240">
        <f t="shared" si="30"/>
        <v>0</v>
      </c>
      <c r="X18" s="240">
        <f t="shared" si="31"/>
        <v>0</v>
      </c>
      <c r="Y18" s="243">
        <f t="shared" si="32"/>
        <v>0</v>
      </c>
      <c r="Z18" s="417"/>
      <c r="AA18" s="417"/>
      <c r="AB18" s="417"/>
      <c r="AC18" s="417"/>
      <c r="AD18" s="417"/>
      <c r="AE18" s="240">
        <f t="shared" si="4"/>
        <v>0</v>
      </c>
      <c r="AF18" s="240">
        <f t="shared" si="21"/>
        <v>0</v>
      </c>
      <c r="AG18" s="240">
        <f t="shared" si="5"/>
        <v>0</v>
      </c>
      <c r="AH18" s="243">
        <f t="shared" si="29"/>
        <v>0</v>
      </c>
      <c r="AI18" s="417"/>
      <c r="AJ18" s="417"/>
      <c r="AK18" s="417"/>
      <c r="AL18" s="417"/>
      <c r="AM18" s="472"/>
      <c r="AN18" s="240">
        <f t="shared" si="6"/>
        <v>0</v>
      </c>
      <c r="AO18" s="240">
        <f t="shared" si="7"/>
        <v>0</v>
      </c>
      <c r="AP18" s="240">
        <f t="shared" si="8"/>
        <v>0</v>
      </c>
      <c r="AQ18" s="242">
        <f t="shared" si="22"/>
        <v>0</v>
      </c>
      <c r="AR18" s="245"/>
      <c r="AS18" s="245"/>
      <c r="AT18" s="245"/>
      <c r="AU18" s="420"/>
      <c r="AZ18" s="189"/>
      <c r="BA18" s="189"/>
      <c r="BB18" s="189"/>
      <c r="BC18" s="189"/>
      <c r="BD18" s="189"/>
      <c r="BE18" s="189"/>
      <c r="BG18" s="145" t="e">
        <f>IF($K18&gt;=0,+SUM(L$9:$L18)-$B18+Mar!$AZ$41+SUM(AQ$9:$AQ18)," ")</f>
        <v>#VALUE!</v>
      </c>
      <c r="BH18" s="144" t="e">
        <f t="shared" si="33"/>
        <v>#VALUE!</v>
      </c>
      <c r="BI18" s="146" t="e">
        <f t="shared" si="38"/>
        <v>#VALUE!</v>
      </c>
      <c r="BJ18" s="146" t="e">
        <f t="shared" si="39"/>
        <v>#VALUE!</v>
      </c>
      <c r="BK18" s="146" t="e">
        <f t="shared" si="34"/>
        <v>#VALUE!</v>
      </c>
      <c r="BL18" s="164"/>
      <c r="BM18" s="157">
        <f t="shared" si="35"/>
        <v>0</v>
      </c>
      <c r="BN18">
        <f t="shared" si="36"/>
        <v>2</v>
      </c>
    </row>
    <row r="19" spans="1:66" ht="15.95" customHeight="1" x14ac:dyDescent="0.25">
      <c r="A19" s="83"/>
      <c r="B19" s="84">
        <f>IF($I19&lt;&gt;"",IF(WEEKDAY($I19,2)&lt;6,IF(VLOOKUP(WEEKDAY($I19,2),InputUge,3)&gt;0,IF($A19="",VLOOKUP(WEEKDAY($I19,2),InputUge,3)+MAX(B$8:B18),IF($A19&lt;VLOOKUP(WEEKDAY($I19,2),InputUge,3),$A19+MAX(B$8:B18),VLOOKUP(WEEKDAY($I19,2),InputUge,3)+MAX(B$8:B18))),""),""),"")</f>
        <v>50.47</v>
      </c>
      <c r="C19" s="144">
        <f t="shared" si="16"/>
        <v>1</v>
      </c>
      <c r="D19" s="146">
        <f t="shared" si="17"/>
        <v>50</v>
      </c>
      <c r="E19" s="146">
        <f t="shared" si="18"/>
        <v>0.46999999999999886</v>
      </c>
      <c r="F19" s="146">
        <f t="shared" si="19"/>
        <v>0.28199999999999936</v>
      </c>
      <c r="G19" s="261">
        <f t="shared" si="23"/>
        <v>50.281999999999996</v>
      </c>
      <c r="H19" s="4">
        <v>11</v>
      </c>
      <c r="I19" s="16">
        <f t="shared" si="20"/>
        <v>41344</v>
      </c>
      <c r="J19" s="6">
        <v>0.34791666666666665</v>
      </c>
      <c r="K19" s="6">
        <v>0.64236111111111105</v>
      </c>
      <c r="L19" s="5">
        <f t="shared" ref="L19:L24" si="40">IF(K19&gt;0,ROUND(((K19-J19)*24)-SUM(BR19:BS19)+BT19,2)+IF(Fredagsfrokost="n",IF(WEEKDAY($I19,2)=5,IF(K19&gt;=0.5,IF(K19&lt;=13/24,0,0),0),0),0),IF(AW19&gt;0,AW19,""))</f>
        <v>7.07</v>
      </c>
      <c r="M19" s="141">
        <f t="shared" ref="M19:M24" si="41">FLOOR(L19,1)</f>
        <v>7</v>
      </c>
      <c r="N19" s="141">
        <f t="shared" ref="N19:N24" si="42">+L19-M19</f>
        <v>7.0000000000000284E-2</v>
      </c>
      <c r="O19" s="141">
        <f t="shared" ref="O19:O24" si="43">+N19/100*60</f>
        <v>4.2000000000000169E-2</v>
      </c>
      <c r="P19" s="162">
        <f t="shared" ref="P19:P24" si="44">IF(J19="","",O19+M19)</f>
        <v>7.0419999999999998</v>
      </c>
      <c r="Q19" s="591"/>
      <c r="R19" s="592"/>
      <c r="S19" s="592"/>
      <c r="T19" s="593"/>
      <c r="U19" s="417"/>
      <c r="V19" s="240">
        <f t="shared" si="37"/>
        <v>0</v>
      </c>
      <c r="W19" s="240">
        <f t="shared" si="30"/>
        <v>0</v>
      </c>
      <c r="X19" s="240">
        <f t="shared" si="31"/>
        <v>0</v>
      </c>
      <c r="Y19" s="243">
        <f t="shared" si="32"/>
        <v>0</v>
      </c>
      <c r="Z19" s="417"/>
      <c r="AA19" s="417"/>
      <c r="AB19" s="417"/>
      <c r="AC19" s="417"/>
      <c r="AD19" s="417"/>
      <c r="AE19" s="240">
        <f t="shared" si="4"/>
        <v>0</v>
      </c>
      <c r="AF19" s="240">
        <f t="shared" si="21"/>
        <v>0</v>
      </c>
      <c r="AG19" s="240">
        <f t="shared" si="5"/>
        <v>0</v>
      </c>
      <c r="AH19" s="243">
        <f t="shared" si="29"/>
        <v>0</v>
      </c>
      <c r="AI19" s="417"/>
      <c r="AJ19" s="417"/>
      <c r="AK19" s="417"/>
      <c r="AL19" s="417"/>
      <c r="AM19" s="472"/>
      <c r="AN19" s="240">
        <f t="shared" si="6"/>
        <v>0</v>
      </c>
      <c r="AO19" s="240">
        <f t="shared" si="7"/>
        <v>0</v>
      </c>
      <c r="AP19" s="240">
        <f t="shared" si="8"/>
        <v>0</v>
      </c>
      <c r="AQ19" s="242">
        <f t="shared" si="22"/>
        <v>0</v>
      </c>
      <c r="AR19" s="245"/>
      <c r="AS19" s="245"/>
      <c r="AT19" s="245"/>
      <c r="AU19" s="420"/>
      <c r="AZ19" s="189"/>
      <c r="BA19" s="189"/>
      <c r="BB19" s="189"/>
      <c r="BC19" s="189"/>
      <c r="BD19" s="189"/>
      <c r="BE19" s="189"/>
      <c r="BG19" s="145">
        <f>IF($K19&gt;=0,+SUM(L$9:$L19)-$B19+Mar!$AZ$41+SUM(AQ$9:$AQ19)," ")</f>
        <v>3.3333333333658288E-3</v>
      </c>
      <c r="BH19" s="144">
        <f t="shared" si="33"/>
        <v>1</v>
      </c>
      <c r="BI19" s="146">
        <f t="shared" si="38"/>
        <v>0</v>
      </c>
      <c r="BJ19" s="146">
        <f t="shared" si="39"/>
        <v>3.3333333333658288E-3</v>
      </c>
      <c r="BK19" s="146">
        <f t="shared" si="34"/>
        <v>2.0000000000194975E-3</v>
      </c>
      <c r="BL19" s="164">
        <f t="shared" ref="BL19:BL24" si="45">IF(BN19=2,+BK19+BI19,"")</f>
        <v>2.0000000000194975E-3</v>
      </c>
      <c r="BM19" s="157">
        <f t="shared" si="35"/>
        <v>7.0419999999999998</v>
      </c>
      <c r="BN19">
        <f t="shared" si="36"/>
        <v>2</v>
      </c>
    </row>
    <row r="20" spans="1:66" ht="15.95" customHeight="1" x14ac:dyDescent="0.25">
      <c r="A20" s="83"/>
      <c r="B20" s="84">
        <f>IF($I20&lt;&gt;"",IF(WEEKDAY($I20,2)&lt;6,IF(VLOOKUP(WEEKDAY($I20,2),InputUge,3)&gt;0,IF($A20="",VLOOKUP(WEEKDAY($I20,2),InputUge,3)+MAX(B$8:B19),IF($A20&lt;VLOOKUP(WEEKDAY($I20,2),InputUge,3),$A20+MAX(B$8:B19),VLOOKUP(WEEKDAY($I20,2),InputUge,3)+MAX(B$8:B19))),""),""),"")</f>
        <v>57.536666666666662</v>
      </c>
      <c r="C20" s="144">
        <f t="shared" si="16"/>
        <v>1</v>
      </c>
      <c r="D20" s="146">
        <f t="shared" si="17"/>
        <v>57</v>
      </c>
      <c r="E20" s="146">
        <f t="shared" si="18"/>
        <v>0.53666666666666174</v>
      </c>
      <c r="F20" s="146">
        <f t="shared" si="19"/>
        <v>0.32199999999999707</v>
      </c>
      <c r="G20" s="261">
        <f t="shared" si="23"/>
        <v>57.321999999999996</v>
      </c>
      <c r="H20" s="4">
        <v>12</v>
      </c>
      <c r="I20" s="16">
        <f t="shared" si="20"/>
        <v>41345</v>
      </c>
      <c r="J20" s="6">
        <v>0.34791666666666665</v>
      </c>
      <c r="K20" s="6">
        <v>0.64236111111111105</v>
      </c>
      <c r="L20" s="5">
        <f t="shared" si="40"/>
        <v>7.07</v>
      </c>
      <c r="M20" s="141">
        <f t="shared" si="41"/>
        <v>7</v>
      </c>
      <c r="N20" s="141">
        <f t="shared" si="42"/>
        <v>7.0000000000000284E-2</v>
      </c>
      <c r="O20" s="141">
        <f t="shared" si="43"/>
        <v>4.2000000000000169E-2</v>
      </c>
      <c r="P20" s="162">
        <f t="shared" si="44"/>
        <v>7.0419999999999998</v>
      </c>
      <c r="Q20" s="591"/>
      <c r="R20" s="592"/>
      <c r="S20" s="592"/>
      <c r="T20" s="593"/>
      <c r="U20" s="417"/>
      <c r="V20" s="240">
        <f t="shared" si="37"/>
        <v>0</v>
      </c>
      <c r="W20" s="240">
        <f t="shared" si="30"/>
        <v>0</v>
      </c>
      <c r="X20" s="240">
        <f t="shared" si="31"/>
        <v>0</v>
      </c>
      <c r="Y20" s="243">
        <f t="shared" si="32"/>
        <v>0</v>
      </c>
      <c r="Z20" s="417"/>
      <c r="AA20" s="417"/>
      <c r="AB20" s="417"/>
      <c r="AC20" s="417"/>
      <c r="AD20" s="417"/>
      <c r="AE20" s="240">
        <f t="shared" si="4"/>
        <v>0</v>
      </c>
      <c r="AF20" s="240">
        <f t="shared" si="21"/>
        <v>0</v>
      </c>
      <c r="AG20" s="240">
        <f t="shared" si="5"/>
        <v>0</v>
      </c>
      <c r="AH20" s="243">
        <f t="shared" si="29"/>
        <v>0</v>
      </c>
      <c r="AI20" s="417"/>
      <c r="AJ20" s="417"/>
      <c r="AK20" s="417"/>
      <c r="AL20" s="417"/>
      <c r="AM20" s="472"/>
      <c r="AN20" s="240">
        <f t="shared" si="6"/>
        <v>0</v>
      </c>
      <c r="AO20" s="240">
        <f t="shared" si="7"/>
        <v>0</v>
      </c>
      <c r="AP20" s="240">
        <f t="shared" si="8"/>
        <v>0</v>
      </c>
      <c r="AQ20" s="242">
        <f t="shared" si="22"/>
        <v>0</v>
      </c>
      <c r="AR20" s="245"/>
      <c r="AS20" s="245"/>
      <c r="AT20" s="245"/>
      <c r="AU20" s="420"/>
      <c r="AZ20" s="189"/>
      <c r="BA20" s="189"/>
      <c r="BB20" s="189"/>
      <c r="BC20" s="189"/>
      <c r="BD20" s="189"/>
      <c r="BE20" s="189"/>
      <c r="BG20" s="145">
        <f>IF($K20&gt;=0,+SUM(L$9:$L20)-$B20+Mar!$AZ$41+SUM(AQ$9:$AQ20)," ")</f>
        <v>6.6666666667032359E-3</v>
      </c>
      <c r="BH20" s="144">
        <f t="shared" si="33"/>
        <v>1</v>
      </c>
      <c r="BI20" s="146">
        <f t="shared" si="38"/>
        <v>0</v>
      </c>
      <c r="BJ20" s="146">
        <f t="shared" si="39"/>
        <v>6.6666666667032359E-3</v>
      </c>
      <c r="BK20" s="146">
        <f t="shared" si="34"/>
        <v>4.0000000000219417E-3</v>
      </c>
      <c r="BL20" s="164">
        <f t="shared" si="45"/>
        <v>4.0000000000219417E-3</v>
      </c>
      <c r="BM20" s="157">
        <f t="shared" si="35"/>
        <v>7.0419999999999998</v>
      </c>
      <c r="BN20">
        <f t="shared" si="36"/>
        <v>2</v>
      </c>
    </row>
    <row r="21" spans="1:66" ht="15.95" customHeight="1" x14ac:dyDescent="0.25">
      <c r="A21" s="83"/>
      <c r="B21" s="84">
        <f>IF($I21&lt;&gt;"",IF(WEEKDAY($I21,2)&lt;6,IF(VLOOKUP(WEEKDAY($I21,2),InputUge,3)&gt;0,IF($A21="",VLOOKUP(WEEKDAY($I21,2),InputUge,3)+MAX(B$8:B20),IF($A21&lt;VLOOKUP(WEEKDAY($I21,2),InputUge,3),$A21+MAX(B$8:B20),VLOOKUP(WEEKDAY($I21,2),InputUge,3)+MAX(B$8:B20))),""),""),"")</f>
        <v>64.603333333333325</v>
      </c>
      <c r="C21" s="144">
        <f t="shared" si="16"/>
        <v>1</v>
      </c>
      <c r="D21" s="146">
        <f t="shared" si="17"/>
        <v>64</v>
      </c>
      <c r="E21" s="146">
        <f t="shared" si="18"/>
        <v>0.60333333333332462</v>
      </c>
      <c r="F21" s="146">
        <f t="shared" si="19"/>
        <v>0.36199999999999477</v>
      </c>
      <c r="G21" s="261">
        <f t="shared" si="23"/>
        <v>64.361999999999995</v>
      </c>
      <c r="H21" s="4">
        <v>13</v>
      </c>
      <c r="I21" s="16">
        <f t="shared" si="20"/>
        <v>41346</v>
      </c>
      <c r="J21" s="6">
        <v>0.34814814814814815</v>
      </c>
      <c r="K21" s="6">
        <v>0.64236111111111105</v>
      </c>
      <c r="L21" s="5">
        <f t="shared" si="40"/>
        <v>7.06</v>
      </c>
      <c r="M21" s="141">
        <f t="shared" si="41"/>
        <v>7</v>
      </c>
      <c r="N21" s="141">
        <f t="shared" si="42"/>
        <v>5.9999999999999609E-2</v>
      </c>
      <c r="O21" s="141">
        <f t="shared" si="43"/>
        <v>3.5999999999999761E-2</v>
      </c>
      <c r="P21" s="162">
        <f t="shared" si="44"/>
        <v>7.0359999999999996</v>
      </c>
      <c r="Q21" s="591"/>
      <c r="R21" s="592"/>
      <c r="S21" s="592"/>
      <c r="T21" s="593"/>
      <c r="U21" s="417"/>
      <c r="V21" s="240">
        <f t="shared" si="37"/>
        <v>0</v>
      </c>
      <c r="W21" s="240">
        <f t="shared" si="30"/>
        <v>0</v>
      </c>
      <c r="X21" s="240">
        <f t="shared" si="31"/>
        <v>0</v>
      </c>
      <c r="Y21" s="243">
        <f t="shared" si="32"/>
        <v>0</v>
      </c>
      <c r="Z21" s="417"/>
      <c r="AA21" s="417"/>
      <c r="AB21" s="417"/>
      <c r="AC21" s="417"/>
      <c r="AD21" s="417"/>
      <c r="AE21" s="240">
        <f t="shared" si="4"/>
        <v>0</v>
      </c>
      <c r="AF21" s="240">
        <f t="shared" si="21"/>
        <v>0</v>
      </c>
      <c r="AG21" s="240">
        <f t="shared" si="5"/>
        <v>0</v>
      </c>
      <c r="AH21" s="243">
        <f t="shared" si="29"/>
        <v>0</v>
      </c>
      <c r="AI21" s="417"/>
      <c r="AJ21" s="417"/>
      <c r="AK21" s="417"/>
      <c r="AL21" s="417"/>
      <c r="AM21" s="472"/>
      <c r="AN21" s="240">
        <f t="shared" si="6"/>
        <v>0</v>
      </c>
      <c r="AO21" s="240">
        <f t="shared" si="7"/>
        <v>0</v>
      </c>
      <c r="AP21" s="240">
        <f t="shared" si="8"/>
        <v>0</v>
      </c>
      <c r="AQ21" s="242">
        <f t="shared" si="22"/>
        <v>0</v>
      </c>
      <c r="AR21" s="245"/>
      <c r="AS21" s="245"/>
      <c r="AT21" s="245"/>
      <c r="AU21" s="420"/>
      <c r="AZ21" s="189"/>
      <c r="BA21" s="189"/>
      <c r="BB21" s="189"/>
      <c r="BC21" s="189"/>
      <c r="BD21" s="189"/>
      <c r="BE21" s="189"/>
      <c r="BG21" s="145">
        <f>IF($K21&gt;=0,+SUM(L$9:$L21)-$B21+Mar!$AZ$41+SUM(AQ$9:$AQ21)," ")</f>
        <v>4.2632564145606011E-14</v>
      </c>
      <c r="BH21" s="144">
        <f t="shared" si="33"/>
        <v>1</v>
      </c>
      <c r="BI21" s="146">
        <f t="shared" si="38"/>
        <v>0</v>
      </c>
      <c r="BJ21" s="146">
        <f t="shared" si="39"/>
        <v>4.2632564145606011E-14</v>
      </c>
      <c r="BK21" s="146">
        <f t="shared" si="34"/>
        <v>2.5579538487363604E-14</v>
      </c>
      <c r="BL21" s="164">
        <f t="shared" si="45"/>
        <v>2.5579538487363604E-14</v>
      </c>
      <c r="BM21" s="157">
        <f>+P21</f>
        <v>7.0359999999999996</v>
      </c>
      <c r="BN21">
        <f t="shared" si="36"/>
        <v>2</v>
      </c>
    </row>
    <row r="22" spans="1:66" ht="15.95" customHeight="1" x14ac:dyDescent="0.25">
      <c r="A22" s="83"/>
      <c r="B22" s="84">
        <f>IF($I22&lt;&gt;"",IF(WEEKDAY($I22,2)&lt;6,IF(VLOOKUP(WEEKDAY($I22,2),InputUge,3)&gt;0,IF($A22="",VLOOKUP(WEEKDAY($I22,2),InputUge,3)+MAX(B$8:B21),IF($A22&lt;VLOOKUP(WEEKDAY($I22,2),InputUge,3),$A22+MAX(B$8:B21),VLOOKUP(WEEKDAY($I22,2),InputUge,3)+MAX(B$8:B21))),""),""),"")</f>
        <v>74.013333333333321</v>
      </c>
      <c r="C22" s="144">
        <f t="shared" si="16"/>
        <v>1</v>
      </c>
      <c r="D22" s="146">
        <f t="shared" si="17"/>
        <v>74</v>
      </c>
      <c r="E22" s="146">
        <f t="shared" si="18"/>
        <v>1.3333333333321207E-2</v>
      </c>
      <c r="F22" s="146">
        <f t="shared" si="19"/>
        <v>7.9999999999927247E-3</v>
      </c>
      <c r="G22" s="261">
        <f t="shared" si="23"/>
        <v>74.007999999999996</v>
      </c>
      <c r="H22" s="4">
        <v>14</v>
      </c>
      <c r="I22" s="16">
        <f t="shared" si="20"/>
        <v>41347</v>
      </c>
      <c r="J22" s="6">
        <v>0.34791666666666665</v>
      </c>
      <c r="K22" s="6">
        <v>0.73981481481481481</v>
      </c>
      <c r="L22" s="5">
        <f t="shared" si="40"/>
        <v>9.41</v>
      </c>
      <c r="M22" s="141">
        <f t="shared" si="41"/>
        <v>9</v>
      </c>
      <c r="N22" s="141">
        <f t="shared" si="42"/>
        <v>0.41000000000000014</v>
      </c>
      <c r="O22" s="141">
        <f t="shared" si="43"/>
        <v>0.24600000000000008</v>
      </c>
      <c r="P22" s="162">
        <f t="shared" si="44"/>
        <v>9.2460000000000004</v>
      </c>
      <c r="Q22" s="591"/>
      <c r="R22" s="592"/>
      <c r="S22" s="592"/>
      <c r="T22" s="593"/>
      <c r="U22" s="417"/>
      <c r="V22" s="240">
        <f t="shared" si="37"/>
        <v>0</v>
      </c>
      <c r="W22" s="240">
        <f t="shared" si="30"/>
        <v>0</v>
      </c>
      <c r="X22" s="240">
        <f t="shared" si="31"/>
        <v>0</v>
      </c>
      <c r="Y22" s="243">
        <f t="shared" si="32"/>
        <v>0</v>
      </c>
      <c r="Z22" s="417"/>
      <c r="AA22" s="417"/>
      <c r="AB22" s="417"/>
      <c r="AC22" s="417"/>
      <c r="AD22" s="417"/>
      <c r="AE22" s="240">
        <f t="shared" si="4"/>
        <v>0</v>
      </c>
      <c r="AF22" s="240">
        <f t="shared" si="21"/>
        <v>0</v>
      </c>
      <c r="AG22" s="240">
        <f t="shared" si="5"/>
        <v>0</v>
      </c>
      <c r="AH22" s="243">
        <f t="shared" si="29"/>
        <v>0</v>
      </c>
      <c r="AI22" s="417"/>
      <c r="AJ22" s="417"/>
      <c r="AK22" s="417"/>
      <c r="AL22" s="417"/>
      <c r="AM22" s="472"/>
      <c r="AN22" s="240">
        <f t="shared" si="6"/>
        <v>0</v>
      </c>
      <c r="AO22" s="240">
        <f t="shared" si="7"/>
        <v>0</v>
      </c>
      <c r="AP22" s="240">
        <f t="shared" si="8"/>
        <v>0</v>
      </c>
      <c r="AQ22" s="242">
        <f t="shared" si="22"/>
        <v>0</v>
      </c>
      <c r="AR22" s="245"/>
      <c r="AS22" s="245"/>
      <c r="AT22" s="245"/>
      <c r="AU22" s="420"/>
      <c r="AZ22" s="189"/>
      <c r="BA22" s="189"/>
      <c r="BB22" s="189"/>
      <c r="BC22" s="189"/>
      <c r="BD22" s="189"/>
      <c r="BE22" s="189"/>
      <c r="BG22" s="145">
        <f>IF($K22&gt;=0,+SUM(L$9:$L22)-$B22+Mar!$AZ$41+SUM(AQ$9:$AQ22)," ")</f>
        <v>4.2632564145606011E-14</v>
      </c>
      <c r="BH22" s="144">
        <f t="shared" si="33"/>
        <v>1</v>
      </c>
      <c r="BI22" s="146">
        <f t="shared" si="38"/>
        <v>0</v>
      </c>
      <c r="BJ22" s="146">
        <f t="shared" si="39"/>
        <v>4.2632564145606011E-14</v>
      </c>
      <c r="BK22" s="146">
        <f t="shared" si="34"/>
        <v>2.5579538487363604E-14</v>
      </c>
      <c r="BL22" s="164">
        <f t="shared" si="45"/>
        <v>2.5579538487363604E-14</v>
      </c>
      <c r="BM22" s="157">
        <f t="shared" si="35"/>
        <v>9.2460000000000004</v>
      </c>
      <c r="BN22">
        <f t="shared" si="36"/>
        <v>2</v>
      </c>
    </row>
    <row r="23" spans="1:66" ht="15.95" customHeight="1" x14ac:dyDescent="0.25">
      <c r="A23" s="83"/>
      <c r="B23" s="84">
        <f>IF($I23&lt;&gt;"",IF(WEEKDAY($I23,2)&lt;6,IF(VLOOKUP(WEEKDAY($I23,2),InputUge,3)&gt;0,IF($A23="",VLOOKUP(WEEKDAY($I23,2),InputUge,3)+MAX(B$8:B22),IF($A23&lt;VLOOKUP(WEEKDAY($I23,2),InputUge,3),$A23+MAX(B$8:B22),VLOOKUP(WEEKDAY($I23,2),InputUge,3)+MAX(B$8:B22))),""),""),"")</f>
        <v>80.413333333333327</v>
      </c>
      <c r="C23" s="144">
        <f t="shared" si="16"/>
        <v>1</v>
      </c>
      <c r="D23" s="146">
        <f t="shared" si="17"/>
        <v>80</v>
      </c>
      <c r="E23" s="146">
        <f t="shared" si="18"/>
        <v>0.41333333333332689</v>
      </c>
      <c r="F23" s="146">
        <f t="shared" si="19"/>
        <v>0.24799999999999617</v>
      </c>
      <c r="G23" s="261">
        <f t="shared" si="23"/>
        <v>80.24799999999999</v>
      </c>
      <c r="H23" s="4">
        <v>15</v>
      </c>
      <c r="I23" s="16">
        <f t="shared" si="20"/>
        <v>41348</v>
      </c>
      <c r="J23" s="6">
        <v>0.34791666666666665</v>
      </c>
      <c r="K23" s="6">
        <v>0.61458333333333337</v>
      </c>
      <c r="L23" s="5">
        <f t="shared" si="40"/>
        <v>6.4</v>
      </c>
      <c r="M23" s="141">
        <f t="shared" si="41"/>
        <v>6</v>
      </c>
      <c r="N23" s="141">
        <f t="shared" si="42"/>
        <v>0.40000000000000036</v>
      </c>
      <c r="O23" s="141">
        <f t="shared" si="43"/>
        <v>0.24000000000000021</v>
      </c>
      <c r="P23" s="162">
        <f t="shared" si="44"/>
        <v>6.24</v>
      </c>
      <c r="Q23" s="591"/>
      <c r="R23" s="592"/>
      <c r="S23" s="592"/>
      <c r="T23" s="593"/>
      <c r="U23" s="417"/>
      <c r="V23" s="240">
        <f t="shared" si="37"/>
        <v>0</v>
      </c>
      <c r="W23" s="240">
        <f t="shared" si="30"/>
        <v>0</v>
      </c>
      <c r="X23" s="240">
        <f t="shared" si="31"/>
        <v>0</v>
      </c>
      <c r="Y23" s="243">
        <f t="shared" si="32"/>
        <v>0</v>
      </c>
      <c r="Z23" s="417"/>
      <c r="AA23" s="417"/>
      <c r="AB23" s="417"/>
      <c r="AC23" s="417"/>
      <c r="AD23" s="417"/>
      <c r="AE23" s="240">
        <f t="shared" si="4"/>
        <v>0</v>
      </c>
      <c r="AF23" s="240">
        <f t="shared" si="21"/>
        <v>0</v>
      </c>
      <c r="AG23" s="240">
        <f t="shared" si="5"/>
        <v>0</v>
      </c>
      <c r="AH23" s="243">
        <f t="shared" si="29"/>
        <v>0</v>
      </c>
      <c r="AI23" s="417"/>
      <c r="AJ23" s="417"/>
      <c r="AK23" s="417"/>
      <c r="AL23" s="417"/>
      <c r="AM23" s="472"/>
      <c r="AN23" s="240">
        <f t="shared" si="6"/>
        <v>0</v>
      </c>
      <c r="AO23" s="240">
        <f t="shared" si="7"/>
        <v>0</v>
      </c>
      <c r="AP23" s="240">
        <f t="shared" si="8"/>
        <v>0</v>
      </c>
      <c r="AQ23" s="242">
        <f t="shared" si="22"/>
        <v>0</v>
      </c>
      <c r="AR23" s="245"/>
      <c r="AS23" s="245"/>
      <c r="AT23" s="245"/>
      <c r="AU23" s="420"/>
      <c r="AZ23" s="189"/>
      <c r="BA23" s="189"/>
      <c r="BB23" s="189"/>
      <c r="BC23" s="189"/>
      <c r="BD23" s="189"/>
      <c r="BE23" s="189"/>
      <c r="BG23" s="145">
        <f>IF($K23&gt;=0,+SUM(L$9:$L23)-$B23+Mar!$AZ$41+SUM(AQ$9:$AQ23)," ")</f>
        <v>4.2632564145606011E-14</v>
      </c>
      <c r="BH23" s="144">
        <f t="shared" ref="BH23:BH29" si="46">IF(BG23&lt;0,-1,1)</f>
        <v>1</v>
      </c>
      <c r="BI23" s="146">
        <f t="shared" ref="BI23:BI29" si="47">FLOOR(BG23,BH23)</f>
        <v>0</v>
      </c>
      <c r="BJ23" s="146">
        <f t="shared" ref="BJ23:BJ29" si="48">+BG23-BI23</f>
        <v>4.2632564145606011E-14</v>
      </c>
      <c r="BK23" s="146">
        <f t="shared" ref="BK23:BK29" si="49">+BJ23/100*60</f>
        <v>2.5579538487363604E-14</v>
      </c>
      <c r="BL23" s="164">
        <f t="shared" si="45"/>
        <v>2.5579538487363604E-14</v>
      </c>
      <c r="BM23" s="157">
        <f t="shared" si="35"/>
        <v>6.24</v>
      </c>
      <c r="BN23">
        <f t="shared" si="36"/>
        <v>2</v>
      </c>
    </row>
    <row r="24" spans="1:66" ht="15.95" customHeight="1" x14ac:dyDescent="0.25">
      <c r="A24" s="83"/>
      <c r="B24" s="84" t="str">
        <f>IF($I24&lt;&gt;"",IF(WEEKDAY($I24,2)&lt;6,IF(VLOOKUP(WEEKDAY($I24,2),InputUge,3)&gt;0,IF($A24="",VLOOKUP(WEEKDAY($I24,2),InputUge,3)+MAX(B$8:B23),IF($A24&lt;VLOOKUP(WEEKDAY($I24,2),InputUge,3),$A24+MAX(B$8:B23),VLOOKUP(WEEKDAY($I24,2),InputUge,3)+MAX(B$8:B23))),""),""),"")</f>
        <v/>
      </c>
      <c r="C24" s="144">
        <f t="shared" si="16"/>
        <v>1</v>
      </c>
      <c r="D24" s="146" t="e">
        <f t="shared" si="17"/>
        <v>#VALUE!</v>
      </c>
      <c r="E24" s="146" t="e">
        <f t="shared" si="18"/>
        <v>#VALUE!</v>
      </c>
      <c r="F24" s="146" t="e">
        <f t="shared" si="19"/>
        <v>#VALUE!</v>
      </c>
      <c r="G24" s="261"/>
      <c r="H24" s="4">
        <v>16</v>
      </c>
      <c r="I24" s="16">
        <f t="shared" si="20"/>
        <v>41349</v>
      </c>
      <c r="J24" s="6"/>
      <c r="K24" s="6"/>
      <c r="L24" s="5" t="str">
        <f t="shared" si="40"/>
        <v/>
      </c>
      <c r="M24" s="141" t="e">
        <f t="shared" si="41"/>
        <v>#VALUE!</v>
      </c>
      <c r="N24" s="141" t="e">
        <f t="shared" si="42"/>
        <v>#VALUE!</v>
      </c>
      <c r="O24" s="141" t="e">
        <f t="shared" si="43"/>
        <v>#VALUE!</v>
      </c>
      <c r="P24" s="162" t="str">
        <f t="shared" si="44"/>
        <v/>
      </c>
      <c r="Q24" s="591"/>
      <c r="R24" s="592"/>
      <c r="S24" s="592"/>
      <c r="T24" s="593"/>
      <c r="U24" s="417"/>
      <c r="V24" s="240">
        <f t="shared" si="37"/>
        <v>0</v>
      </c>
      <c r="W24" s="240">
        <f t="shared" si="30"/>
        <v>0</v>
      </c>
      <c r="X24" s="240">
        <f t="shared" si="31"/>
        <v>0</v>
      </c>
      <c r="Y24" s="243">
        <f t="shared" si="32"/>
        <v>0</v>
      </c>
      <c r="Z24" s="417"/>
      <c r="AA24" s="417"/>
      <c r="AB24" s="417"/>
      <c r="AC24" s="417"/>
      <c r="AD24" s="417"/>
      <c r="AE24" s="240">
        <f t="shared" si="4"/>
        <v>0</v>
      </c>
      <c r="AF24" s="240">
        <f t="shared" si="21"/>
        <v>0</v>
      </c>
      <c r="AG24" s="240">
        <f t="shared" si="5"/>
        <v>0</v>
      </c>
      <c r="AH24" s="243">
        <f t="shared" si="29"/>
        <v>0</v>
      </c>
      <c r="AI24" s="417"/>
      <c r="AJ24" s="417"/>
      <c r="AK24" s="417"/>
      <c r="AL24" s="417"/>
      <c r="AM24" s="472"/>
      <c r="AN24" s="240">
        <f t="shared" si="6"/>
        <v>0</v>
      </c>
      <c r="AO24" s="240">
        <f t="shared" si="7"/>
        <v>0</v>
      </c>
      <c r="AP24" s="240">
        <f t="shared" si="8"/>
        <v>0</v>
      </c>
      <c r="AQ24" s="242">
        <f t="shared" si="22"/>
        <v>0</v>
      </c>
      <c r="AR24" s="245"/>
      <c r="AS24" s="245"/>
      <c r="AT24" s="245"/>
      <c r="AU24" s="420"/>
      <c r="AZ24" s="189"/>
      <c r="BA24" s="189"/>
      <c r="BB24" s="189"/>
      <c r="BC24" s="189"/>
      <c r="BD24" s="189"/>
      <c r="BE24" s="189"/>
      <c r="BG24" s="145" t="e">
        <f>IF($K24&gt;=0,+SUM(L$9:$L24)-$B24+Mar!$AZ$41+SUM(AQ$9:$AQ24)," ")</f>
        <v>#VALUE!</v>
      </c>
      <c r="BH24" s="144" t="e">
        <f t="shared" si="46"/>
        <v>#VALUE!</v>
      </c>
      <c r="BI24" s="146" t="e">
        <f t="shared" si="47"/>
        <v>#VALUE!</v>
      </c>
      <c r="BJ24" s="146" t="e">
        <f t="shared" si="48"/>
        <v>#VALUE!</v>
      </c>
      <c r="BK24" s="146" t="e">
        <f t="shared" si="49"/>
        <v>#VALUE!</v>
      </c>
      <c r="BL24" s="164" t="str">
        <f t="shared" si="45"/>
        <v/>
      </c>
      <c r="BM24" s="157" t="str">
        <f>+P24</f>
        <v/>
      </c>
      <c r="BN24">
        <f t="shared" si="36"/>
        <v>1</v>
      </c>
    </row>
    <row r="25" spans="1:66" ht="15.95" customHeight="1" x14ac:dyDescent="0.25">
      <c r="A25" s="83"/>
      <c r="B25" s="84" t="str">
        <f>IF($I25&lt;&gt;"",IF(WEEKDAY($I25,2)&lt;6,IF(VLOOKUP(WEEKDAY($I25,2),InputUge,3)&gt;0,IF($A25="",VLOOKUP(WEEKDAY($I25,2),InputUge,3)+MAX(B$8:B24),IF($A25&lt;VLOOKUP(WEEKDAY($I25,2),InputUge,3),$A25+MAX(B$8:B24),VLOOKUP(WEEKDAY($I25,2),InputUge,3)+MAX(B$8:B24))),""),""),"")</f>
        <v/>
      </c>
      <c r="C25" s="144">
        <f t="shared" si="16"/>
        <v>1</v>
      </c>
      <c r="D25" s="146" t="e">
        <f t="shared" si="17"/>
        <v>#VALUE!</v>
      </c>
      <c r="E25" s="146" t="e">
        <f t="shared" si="18"/>
        <v>#VALUE!</v>
      </c>
      <c r="F25" s="146" t="e">
        <f t="shared" si="19"/>
        <v>#VALUE!</v>
      </c>
      <c r="G25" s="261"/>
      <c r="H25" s="4">
        <v>17</v>
      </c>
      <c r="I25" s="16">
        <f t="shared" si="20"/>
        <v>41350</v>
      </c>
      <c r="J25" s="6"/>
      <c r="K25" s="6"/>
      <c r="L25" s="5"/>
      <c r="M25" s="141"/>
      <c r="N25" s="141"/>
      <c r="O25" s="141"/>
      <c r="P25" s="162"/>
      <c r="Q25" s="591"/>
      <c r="R25" s="592"/>
      <c r="S25" s="592"/>
      <c r="T25" s="593"/>
      <c r="U25" s="417"/>
      <c r="V25" s="240">
        <f t="shared" si="37"/>
        <v>0</v>
      </c>
      <c r="W25" s="240">
        <f t="shared" si="30"/>
        <v>0</v>
      </c>
      <c r="X25" s="240">
        <f t="shared" si="31"/>
        <v>0</v>
      </c>
      <c r="Y25" s="243">
        <f t="shared" si="32"/>
        <v>0</v>
      </c>
      <c r="Z25" s="417"/>
      <c r="AA25" s="417"/>
      <c r="AB25" s="417"/>
      <c r="AC25" s="417"/>
      <c r="AD25" s="417"/>
      <c r="AE25" s="240">
        <f t="shared" si="4"/>
        <v>0</v>
      </c>
      <c r="AF25" s="240">
        <f t="shared" si="21"/>
        <v>0</v>
      </c>
      <c r="AG25" s="240">
        <f t="shared" si="5"/>
        <v>0</v>
      </c>
      <c r="AH25" s="243">
        <f t="shared" si="29"/>
        <v>0</v>
      </c>
      <c r="AI25" s="417"/>
      <c r="AJ25" s="417"/>
      <c r="AK25" s="417"/>
      <c r="AL25" s="417"/>
      <c r="AM25" s="472"/>
      <c r="AN25" s="240">
        <f t="shared" si="6"/>
        <v>0</v>
      </c>
      <c r="AO25" s="240">
        <f t="shared" si="7"/>
        <v>0</v>
      </c>
      <c r="AP25" s="240">
        <f t="shared" si="8"/>
        <v>0</v>
      </c>
      <c r="AQ25" s="242">
        <f t="shared" si="22"/>
        <v>0</v>
      </c>
      <c r="AR25" s="245"/>
      <c r="AS25" s="245"/>
      <c r="AT25" s="245"/>
      <c r="AU25" s="420"/>
      <c r="AZ25" s="189"/>
      <c r="BA25" s="189"/>
      <c r="BB25" s="189"/>
      <c r="BC25" s="189"/>
      <c r="BD25" s="189"/>
      <c r="BE25" s="189"/>
      <c r="BG25" s="145" t="e">
        <f>IF($K25&gt;=0,+SUM(L$9:$L25)-$B25+Mar!$AZ$41+SUM(AQ$9:$AQ25)," ")</f>
        <v>#VALUE!</v>
      </c>
      <c r="BH25" s="144" t="e">
        <f t="shared" si="46"/>
        <v>#VALUE!</v>
      </c>
      <c r="BI25" s="146" t="e">
        <f t="shared" si="47"/>
        <v>#VALUE!</v>
      </c>
      <c r="BJ25" s="146" t="e">
        <f t="shared" si="48"/>
        <v>#VALUE!</v>
      </c>
      <c r="BK25" s="146" t="e">
        <f t="shared" si="49"/>
        <v>#VALUE!</v>
      </c>
      <c r="BL25" s="164"/>
      <c r="BM25" s="157">
        <f>+P25</f>
        <v>0</v>
      </c>
      <c r="BN25">
        <f t="shared" si="36"/>
        <v>2</v>
      </c>
    </row>
    <row r="26" spans="1:66" ht="15.95" customHeight="1" x14ac:dyDescent="0.25">
      <c r="A26" s="83"/>
      <c r="B26" s="84">
        <f>IF($I26&lt;&gt;"",IF(WEEKDAY($I26,2)&lt;6,IF(VLOOKUP(WEEKDAY($I26,2),InputUge,3)&gt;0,IF($A26="",VLOOKUP(WEEKDAY($I26,2),InputUge,3)+MAX(B$8:B25),IF($A26&lt;VLOOKUP(WEEKDAY($I26,2),InputUge,3),$A26+MAX(B$8:B25),VLOOKUP(WEEKDAY($I26,2),InputUge,3)+MAX(B$8:B25))),""),""),"")</f>
        <v>87.476666666666659</v>
      </c>
      <c r="C26" s="144">
        <f t="shared" si="16"/>
        <v>1</v>
      </c>
      <c r="D26" s="146">
        <f t="shared" si="17"/>
        <v>87</v>
      </c>
      <c r="E26" s="146">
        <f t="shared" si="18"/>
        <v>0.47666666666665947</v>
      </c>
      <c r="F26" s="146">
        <f t="shared" si="19"/>
        <v>0.28599999999999565</v>
      </c>
      <c r="G26" s="261">
        <f t="shared" si="23"/>
        <v>87.286000000000001</v>
      </c>
      <c r="H26" s="4">
        <v>18</v>
      </c>
      <c r="I26" s="16">
        <f t="shared" si="20"/>
        <v>41351</v>
      </c>
      <c r="J26" s="6">
        <v>0.34791666666666665</v>
      </c>
      <c r="K26" s="6">
        <v>0.64236111111111105</v>
      </c>
      <c r="L26" s="5">
        <f t="shared" ref="L26:L31" si="50">IF(K26&gt;0,ROUND(((K26-J26)*24)-SUM(BR26:BS26)+BT26,2)+IF(Fredagsfrokost="n",IF(WEEKDAY($I26,2)=5,IF(K26&gt;=0.5,IF(K26&lt;=13/24,0,0),0),0),0),IF(AW26&gt;0,AW26,""))</f>
        <v>7.07</v>
      </c>
      <c r="M26" s="141">
        <f t="shared" ref="M26:M31" si="51">FLOOR(L26,1)</f>
        <v>7</v>
      </c>
      <c r="N26" s="141">
        <f t="shared" ref="N26:N31" si="52">+L26-M26</f>
        <v>7.0000000000000284E-2</v>
      </c>
      <c r="O26" s="141">
        <f t="shared" ref="O26:O31" si="53">+N26/100*60</f>
        <v>4.2000000000000169E-2</v>
      </c>
      <c r="P26" s="162">
        <f t="shared" ref="P26:P31" si="54">IF(J26="","",O26+M26)</f>
        <v>7.0419999999999998</v>
      </c>
      <c r="Q26" s="591"/>
      <c r="R26" s="592"/>
      <c r="S26" s="592"/>
      <c r="T26" s="593"/>
      <c r="U26" s="417"/>
      <c r="V26" s="240">
        <f t="shared" si="37"/>
        <v>0</v>
      </c>
      <c r="W26" s="240">
        <f t="shared" si="30"/>
        <v>0</v>
      </c>
      <c r="X26" s="240">
        <f t="shared" si="31"/>
        <v>0</v>
      </c>
      <c r="Y26" s="243">
        <f t="shared" si="32"/>
        <v>0</v>
      </c>
      <c r="Z26" s="417"/>
      <c r="AA26" s="417"/>
      <c r="AB26" s="417"/>
      <c r="AC26" s="417"/>
      <c r="AD26" s="417"/>
      <c r="AE26" s="240">
        <f t="shared" si="4"/>
        <v>0</v>
      </c>
      <c r="AF26" s="240">
        <f t="shared" si="21"/>
        <v>0</v>
      </c>
      <c r="AG26" s="240">
        <f t="shared" si="5"/>
        <v>0</v>
      </c>
      <c r="AH26" s="243">
        <f t="shared" si="29"/>
        <v>0</v>
      </c>
      <c r="AI26" s="417"/>
      <c r="AJ26" s="417"/>
      <c r="AK26" s="417"/>
      <c r="AL26" s="417"/>
      <c r="AM26" s="472"/>
      <c r="AN26" s="240">
        <f t="shared" si="6"/>
        <v>0</v>
      </c>
      <c r="AO26" s="240">
        <f t="shared" si="7"/>
        <v>0</v>
      </c>
      <c r="AP26" s="240">
        <f t="shared" si="8"/>
        <v>0</v>
      </c>
      <c r="AQ26" s="242">
        <f t="shared" si="22"/>
        <v>0</v>
      </c>
      <c r="AR26" s="245"/>
      <c r="AS26" s="245"/>
      <c r="AT26" s="245"/>
      <c r="AU26" s="420"/>
      <c r="AZ26" s="189"/>
      <c r="BA26" s="189"/>
      <c r="BB26" s="189"/>
      <c r="BC26" s="189"/>
      <c r="BD26" s="189"/>
      <c r="BE26" s="189"/>
      <c r="BG26" s="145">
        <f>IF($K26&gt;=0,+SUM(L$9:$L26)-$B26+Mar!$AZ$41+SUM(AQ$9:$AQ26)," ")</f>
        <v>6.6666666667174468E-3</v>
      </c>
      <c r="BH26" s="144">
        <f t="shared" si="46"/>
        <v>1</v>
      </c>
      <c r="BI26" s="146">
        <f t="shared" si="47"/>
        <v>0</v>
      </c>
      <c r="BJ26" s="146">
        <f t="shared" si="48"/>
        <v>6.6666666667174468E-3</v>
      </c>
      <c r="BK26" s="146">
        <f t="shared" si="49"/>
        <v>4.0000000000304679E-3</v>
      </c>
      <c r="BL26" s="164">
        <f t="shared" ref="BL26:BL31" si="55">IF(BN26=2,+BK26+BI26,"")</f>
        <v>4.0000000000304679E-3</v>
      </c>
      <c r="BM26" s="157">
        <f>+P26</f>
        <v>7.0419999999999998</v>
      </c>
      <c r="BN26">
        <f t="shared" si="36"/>
        <v>2</v>
      </c>
    </row>
    <row r="27" spans="1:66" ht="15.95" customHeight="1" x14ac:dyDescent="0.25">
      <c r="A27" s="83"/>
      <c r="B27" s="84">
        <f>IF($I27&lt;&gt;"",IF(WEEKDAY($I27,2)&lt;6,IF(VLOOKUP(WEEKDAY($I27,2),InputUge,3)&gt;0,IF($A27="",VLOOKUP(WEEKDAY($I27,2),InputUge,3)+MAX(B$8:B26),IF($A27&lt;VLOOKUP(WEEKDAY($I27,2),InputUge,3),$A27+MAX(B$8:B26),VLOOKUP(WEEKDAY($I27,2),InputUge,3)+MAX(B$8:B26))),""),""),"")</f>
        <v>94.543333333333322</v>
      </c>
      <c r="C27" s="144">
        <f t="shared" si="16"/>
        <v>1</v>
      </c>
      <c r="D27" s="146">
        <f t="shared" si="17"/>
        <v>94</v>
      </c>
      <c r="E27" s="146">
        <f t="shared" si="18"/>
        <v>0.54333333333332234</v>
      </c>
      <c r="F27" s="146">
        <f t="shared" si="19"/>
        <v>0.32599999999999341</v>
      </c>
      <c r="G27" s="261">
        <f t="shared" si="23"/>
        <v>94.325999999999993</v>
      </c>
      <c r="H27" s="4">
        <v>19</v>
      </c>
      <c r="I27" s="16">
        <f t="shared" si="20"/>
        <v>41352</v>
      </c>
      <c r="J27" s="6">
        <v>0.34814814814814815</v>
      </c>
      <c r="K27" s="6">
        <v>0.64236111111111105</v>
      </c>
      <c r="L27" s="5">
        <f t="shared" si="50"/>
        <v>7.06</v>
      </c>
      <c r="M27" s="141">
        <f t="shared" si="51"/>
        <v>7</v>
      </c>
      <c r="N27" s="141">
        <f t="shared" si="52"/>
        <v>5.9999999999999609E-2</v>
      </c>
      <c r="O27" s="141">
        <f t="shared" si="53"/>
        <v>3.5999999999999761E-2</v>
      </c>
      <c r="P27" s="162">
        <f t="shared" si="54"/>
        <v>7.0359999999999996</v>
      </c>
      <c r="Q27" s="591"/>
      <c r="R27" s="592"/>
      <c r="S27" s="592"/>
      <c r="T27" s="593"/>
      <c r="U27" s="417"/>
      <c r="V27" s="240">
        <f t="shared" si="37"/>
        <v>0</v>
      </c>
      <c r="W27" s="240">
        <f t="shared" si="30"/>
        <v>0</v>
      </c>
      <c r="X27" s="240">
        <f t="shared" si="31"/>
        <v>0</v>
      </c>
      <c r="Y27" s="243">
        <f t="shared" si="32"/>
        <v>0</v>
      </c>
      <c r="Z27" s="417"/>
      <c r="AA27" s="417"/>
      <c r="AB27" s="417"/>
      <c r="AC27" s="417"/>
      <c r="AD27" s="417"/>
      <c r="AE27" s="240">
        <f t="shared" si="4"/>
        <v>0</v>
      </c>
      <c r="AF27" s="240">
        <f t="shared" si="21"/>
        <v>0</v>
      </c>
      <c r="AG27" s="240">
        <f t="shared" si="5"/>
        <v>0</v>
      </c>
      <c r="AH27" s="243">
        <f t="shared" si="29"/>
        <v>0</v>
      </c>
      <c r="AI27" s="417"/>
      <c r="AJ27" s="417"/>
      <c r="AK27" s="417"/>
      <c r="AL27" s="417"/>
      <c r="AM27" s="472"/>
      <c r="AN27" s="240">
        <f t="shared" si="6"/>
        <v>0</v>
      </c>
      <c r="AO27" s="240">
        <f t="shared" si="7"/>
        <v>0</v>
      </c>
      <c r="AP27" s="240">
        <f t="shared" si="8"/>
        <v>0</v>
      </c>
      <c r="AQ27" s="242">
        <f t="shared" si="22"/>
        <v>0</v>
      </c>
      <c r="AR27" s="245"/>
      <c r="AS27" s="245"/>
      <c r="AT27" s="245"/>
      <c r="AU27" s="420"/>
      <c r="AZ27" s="189"/>
      <c r="BA27" s="189"/>
      <c r="BB27" s="189"/>
      <c r="BC27" s="189"/>
      <c r="BD27" s="189"/>
      <c r="BE27" s="189"/>
      <c r="BG27" s="145">
        <f>IF($K27&gt;=0,+SUM(L$9:$L27)-$B27+Mar!$AZ$41+SUM(AQ$9:$AQ27)," ")</f>
        <v>5.6843418860808015E-14</v>
      </c>
      <c r="BH27" s="144">
        <f t="shared" si="46"/>
        <v>1</v>
      </c>
      <c r="BI27" s="146">
        <f t="shared" si="47"/>
        <v>0</v>
      </c>
      <c r="BJ27" s="146">
        <f t="shared" si="48"/>
        <v>5.6843418860808015E-14</v>
      </c>
      <c r="BK27" s="146">
        <f t="shared" si="49"/>
        <v>3.4106051316484808E-14</v>
      </c>
      <c r="BL27" s="164">
        <f t="shared" si="55"/>
        <v>3.4106051316484808E-14</v>
      </c>
      <c r="BM27" s="157">
        <f>+P27</f>
        <v>7.0359999999999996</v>
      </c>
      <c r="BN27">
        <f t="shared" si="36"/>
        <v>2</v>
      </c>
    </row>
    <row r="28" spans="1:66" ht="15.95" customHeight="1" x14ac:dyDescent="0.25">
      <c r="A28" s="83"/>
      <c r="B28" s="84">
        <f>IF($I28&lt;&gt;"",IF(WEEKDAY($I28,2)&lt;6,IF(VLOOKUP(WEEKDAY($I28,2),InputUge,3)&gt;0,IF($A28="",VLOOKUP(WEEKDAY($I28,2),InputUge,3)+MAX(B$8:B27),IF($A28&lt;VLOOKUP(WEEKDAY($I28,2),InputUge,3),$A28+MAX(B$8:B27),VLOOKUP(WEEKDAY($I28,2),InputUge,3)+MAX(B$8:B27))),""),""),"")</f>
        <v>101.60999999999999</v>
      </c>
      <c r="C28" s="144">
        <f t="shared" si="16"/>
        <v>1</v>
      </c>
      <c r="D28" s="146">
        <f t="shared" si="17"/>
        <v>101</v>
      </c>
      <c r="E28" s="146">
        <f t="shared" si="18"/>
        <v>0.60999999999998522</v>
      </c>
      <c r="F28" s="146">
        <f t="shared" si="19"/>
        <v>0.36599999999999111</v>
      </c>
      <c r="G28" s="261">
        <f t="shared" si="23"/>
        <v>101.36599999999999</v>
      </c>
      <c r="H28" s="4">
        <v>20</v>
      </c>
      <c r="I28" s="16">
        <f t="shared" si="20"/>
        <v>41353</v>
      </c>
      <c r="J28" s="6">
        <v>0.34791666666666665</v>
      </c>
      <c r="K28" s="6">
        <v>0.64236111111111105</v>
      </c>
      <c r="L28" s="5">
        <f t="shared" si="50"/>
        <v>7.07</v>
      </c>
      <c r="M28" s="141">
        <f t="shared" si="51"/>
        <v>7</v>
      </c>
      <c r="N28" s="141">
        <f t="shared" si="52"/>
        <v>7.0000000000000284E-2</v>
      </c>
      <c r="O28" s="141">
        <f t="shared" si="53"/>
        <v>4.2000000000000169E-2</v>
      </c>
      <c r="P28" s="162">
        <f t="shared" si="54"/>
        <v>7.0419999999999998</v>
      </c>
      <c r="Q28" s="591"/>
      <c r="R28" s="592"/>
      <c r="S28" s="592"/>
      <c r="T28" s="593"/>
      <c r="U28" s="417"/>
      <c r="V28" s="240">
        <f t="shared" si="37"/>
        <v>0</v>
      </c>
      <c r="W28" s="240">
        <f t="shared" si="30"/>
        <v>0</v>
      </c>
      <c r="X28" s="240">
        <f t="shared" si="31"/>
        <v>0</v>
      </c>
      <c r="Y28" s="243">
        <f t="shared" si="32"/>
        <v>0</v>
      </c>
      <c r="Z28" s="417"/>
      <c r="AA28" s="417"/>
      <c r="AB28" s="417"/>
      <c r="AC28" s="417"/>
      <c r="AD28" s="417"/>
      <c r="AE28" s="240">
        <f t="shared" si="4"/>
        <v>0</v>
      </c>
      <c r="AF28" s="240">
        <f t="shared" si="21"/>
        <v>0</v>
      </c>
      <c r="AG28" s="240">
        <f t="shared" si="5"/>
        <v>0</v>
      </c>
      <c r="AH28" s="243">
        <f t="shared" si="29"/>
        <v>0</v>
      </c>
      <c r="AI28" s="417"/>
      <c r="AJ28" s="417"/>
      <c r="AK28" s="417"/>
      <c r="AL28" s="417"/>
      <c r="AM28" s="472"/>
      <c r="AN28" s="240">
        <f t="shared" si="6"/>
        <v>0</v>
      </c>
      <c r="AO28" s="240">
        <f t="shared" si="7"/>
        <v>0</v>
      </c>
      <c r="AP28" s="240">
        <f t="shared" si="8"/>
        <v>0</v>
      </c>
      <c r="AQ28" s="242">
        <f t="shared" si="22"/>
        <v>0</v>
      </c>
      <c r="AR28" s="245"/>
      <c r="AS28" s="245"/>
      <c r="AT28" s="245"/>
      <c r="AU28" s="420"/>
      <c r="AZ28" s="189"/>
      <c r="BA28" s="189"/>
      <c r="BB28" s="189"/>
      <c r="BC28" s="189"/>
      <c r="BD28" s="189"/>
      <c r="BE28" s="189"/>
      <c r="BG28" s="145">
        <f>IF($K28&gt;=0,+SUM(L$9:$L28)-$B28+Mar!$AZ$41+SUM(AQ$9:$AQ28)," ")</f>
        <v>3.3333333333871451E-3</v>
      </c>
      <c r="BH28" s="144">
        <f t="shared" si="46"/>
        <v>1</v>
      </c>
      <c r="BI28" s="146">
        <f t="shared" si="47"/>
        <v>0</v>
      </c>
      <c r="BJ28" s="146">
        <f t="shared" si="48"/>
        <v>3.3333333333871451E-3</v>
      </c>
      <c r="BK28" s="146">
        <f t="shared" si="49"/>
        <v>2.0000000000322871E-3</v>
      </c>
      <c r="BL28" s="164">
        <f t="shared" si="55"/>
        <v>2.0000000000322871E-3</v>
      </c>
      <c r="BM28" s="157">
        <f>+P28</f>
        <v>7.0419999999999998</v>
      </c>
      <c r="BN28">
        <f t="shared" si="36"/>
        <v>2</v>
      </c>
    </row>
    <row r="29" spans="1:66" ht="15.95" customHeight="1" x14ac:dyDescent="0.25">
      <c r="A29" s="83"/>
      <c r="B29" s="84">
        <f>IF($I29&lt;&gt;"",IF(WEEKDAY($I29,2)&lt;6,IF(VLOOKUP(WEEKDAY($I29,2),InputUge,3)&gt;0,IF($A29="",VLOOKUP(WEEKDAY($I29,2),InputUge,3)+MAX(B$8:B28),IF($A29&lt;VLOOKUP(WEEKDAY($I29,2),InputUge,3),$A29+MAX(B$8:B28),VLOOKUP(WEEKDAY($I29,2),InputUge,3)+MAX(B$8:B28))),""),""),"")</f>
        <v>111.01999999999998</v>
      </c>
      <c r="C29" s="144">
        <f t="shared" si="16"/>
        <v>1</v>
      </c>
      <c r="D29" s="146">
        <f t="shared" si="17"/>
        <v>111</v>
      </c>
      <c r="E29" s="146">
        <f t="shared" si="18"/>
        <v>1.999999999998181E-2</v>
      </c>
      <c r="F29" s="146">
        <f t="shared" si="19"/>
        <v>1.1999999999989087E-2</v>
      </c>
      <c r="G29" s="261">
        <f t="shared" si="23"/>
        <v>111.01199999999999</v>
      </c>
      <c r="H29" s="4">
        <v>21</v>
      </c>
      <c r="I29" s="16">
        <f t="shared" si="20"/>
        <v>41354</v>
      </c>
      <c r="J29" s="6">
        <v>0.34791666666666665</v>
      </c>
      <c r="K29" s="6">
        <v>0.73958333333333337</v>
      </c>
      <c r="L29" s="5">
        <f t="shared" si="50"/>
        <v>9.4</v>
      </c>
      <c r="M29" s="141">
        <f t="shared" si="51"/>
        <v>9</v>
      </c>
      <c r="N29" s="141">
        <f t="shared" si="52"/>
        <v>0.40000000000000036</v>
      </c>
      <c r="O29" s="141">
        <f t="shared" si="53"/>
        <v>0.24000000000000021</v>
      </c>
      <c r="P29" s="162">
        <f t="shared" si="54"/>
        <v>9.24</v>
      </c>
      <c r="Q29" s="591"/>
      <c r="R29" s="592"/>
      <c r="S29" s="592"/>
      <c r="T29" s="593"/>
      <c r="U29" s="417"/>
      <c r="V29" s="240">
        <f t="shared" si="37"/>
        <v>0</v>
      </c>
      <c r="W29" s="240">
        <f t="shared" si="30"/>
        <v>0</v>
      </c>
      <c r="X29" s="240">
        <f t="shared" si="31"/>
        <v>0</v>
      </c>
      <c r="Y29" s="243">
        <f t="shared" si="32"/>
        <v>0</v>
      </c>
      <c r="Z29" s="417"/>
      <c r="AA29" s="417"/>
      <c r="AB29" s="417"/>
      <c r="AC29" s="417"/>
      <c r="AD29" s="417"/>
      <c r="AE29" s="240">
        <f t="shared" si="4"/>
        <v>0</v>
      </c>
      <c r="AF29" s="240">
        <f t="shared" si="21"/>
        <v>0</v>
      </c>
      <c r="AG29" s="240">
        <f t="shared" si="5"/>
        <v>0</v>
      </c>
      <c r="AH29" s="243">
        <f t="shared" si="29"/>
        <v>0</v>
      </c>
      <c r="AI29" s="417"/>
      <c r="AJ29" s="417"/>
      <c r="AK29" s="417"/>
      <c r="AL29" s="417"/>
      <c r="AM29" s="472"/>
      <c r="AN29" s="240">
        <f t="shared" si="6"/>
        <v>0</v>
      </c>
      <c r="AO29" s="240">
        <f t="shared" si="7"/>
        <v>0</v>
      </c>
      <c r="AP29" s="240">
        <f t="shared" si="8"/>
        <v>0</v>
      </c>
      <c r="AQ29" s="242">
        <f t="shared" si="22"/>
        <v>0</v>
      </c>
      <c r="AR29" s="245"/>
      <c r="AS29" s="245"/>
      <c r="AT29" s="245"/>
      <c r="AU29" s="420"/>
      <c r="AZ29" s="189"/>
      <c r="BA29" s="189"/>
      <c r="BB29" s="189"/>
      <c r="BC29" s="189"/>
      <c r="BD29" s="189"/>
      <c r="BE29" s="189"/>
      <c r="BG29" s="145">
        <f>IF($K29&gt;=0,+SUM(L$9:$L29)-$B29+Mar!$AZ$41+SUM(AQ$9:$AQ29)," ")+0.01</f>
        <v>3.3333333333962403E-3</v>
      </c>
      <c r="BH29" s="144">
        <f t="shared" si="46"/>
        <v>1</v>
      </c>
      <c r="BI29" s="146">
        <f t="shared" si="47"/>
        <v>0</v>
      </c>
      <c r="BJ29" s="146">
        <f t="shared" si="48"/>
        <v>3.3333333333962403E-3</v>
      </c>
      <c r="BK29" s="146">
        <f t="shared" si="49"/>
        <v>2.0000000000377442E-3</v>
      </c>
      <c r="BL29" s="164">
        <f t="shared" si="55"/>
        <v>2.0000000000377442E-3</v>
      </c>
      <c r="BM29" s="157">
        <f t="shared" si="35"/>
        <v>9.24</v>
      </c>
      <c r="BN29">
        <f t="shared" si="36"/>
        <v>2</v>
      </c>
    </row>
    <row r="30" spans="1:66" ht="15.95" customHeight="1" x14ac:dyDescent="0.25">
      <c r="A30" s="83"/>
      <c r="B30" s="84">
        <f>IF($I30&lt;&gt;"",IF(WEEKDAY($I30,2)&lt;6,IF(VLOOKUP(WEEKDAY($I30,2),InputUge,3)&gt;0,IF($A30="",VLOOKUP(WEEKDAY($I30,2),InputUge,3)+MAX(B$8:B29),IF($A30&lt;VLOOKUP(WEEKDAY($I30,2),InputUge,3),$A30+MAX(B$8:B29),VLOOKUP(WEEKDAY($I30,2),InputUge,3)+MAX(B$8:B29))),""),""),"")</f>
        <v>117.41999999999999</v>
      </c>
      <c r="C30" s="144">
        <f t="shared" si="16"/>
        <v>1</v>
      </c>
      <c r="D30" s="146">
        <f t="shared" si="17"/>
        <v>117</v>
      </c>
      <c r="E30" s="146">
        <f t="shared" si="18"/>
        <v>0.41999999999998749</v>
      </c>
      <c r="F30" s="146">
        <f t="shared" si="19"/>
        <v>0.25199999999999251</v>
      </c>
      <c r="G30" s="261">
        <f t="shared" si="23"/>
        <v>117.252</v>
      </c>
      <c r="H30" s="4">
        <v>22</v>
      </c>
      <c r="I30" s="16">
        <f t="shared" si="20"/>
        <v>41355</v>
      </c>
      <c r="J30" s="6">
        <v>0.34791666666666665</v>
      </c>
      <c r="K30" s="6">
        <v>0.61458333333333337</v>
      </c>
      <c r="L30" s="5">
        <f t="shared" si="50"/>
        <v>6.4</v>
      </c>
      <c r="M30" s="141">
        <f t="shared" si="51"/>
        <v>6</v>
      </c>
      <c r="N30" s="141">
        <f t="shared" si="52"/>
        <v>0.40000000000000036</v>
      </c>
      <c r="O30" s="141">
        <f t="shared" si="53"/>
        <v>0.24000000000000021</v>
      </c>
      <c r="P30" s="162">
        <f t="shared" si="54"/>
        <v>6.24</v>
      </c>
      <c r="Q30" s="591"/>
      <c r="R30" s="592"/>
      <c r="S30" s="592"/>
      <c r="T30" s="593"/>
      <c r="U30" s="417"/>
      <c r="V30" s="240">
        <f t="shared" si="37"/>
        <v>0</v>
      </c>
      <c r="W30" s="240">
        <f t="shared" si="30"/>
        <v>0</v>
      </c>
      <c r="X30" s="240">
        <f t="shared" si="31"/>
        <v>0</v>
      </c>
      <c r="Y30" s="243">
        <f t="shared" si="32"/>
        <v>0</v>
      </c>
      <c r="Z30" s="417"/>
      <c r="AA30" s="417"/>
      <c r="AB30" s="417"/>
      <c r="AC30" s="417"/>
      <c r="AD30" s="417"/>
      <c r="AE30" s="240">
        <f t="shared" si="4"/>
        <v>0</v>
      </c>
      <c r="AF30" s="240">
        <f t="shared" si="21"/>
        <v>0</v>
      </c>
      <c r="AG30" s="240">
        <f t="shared" si="5"/>
        <v>0</v>
      </c>
      <c r="AH30" s="243">
        <f t="shared" si="29"/>
        <v>0</v>
      </c>
      <c r="AI30" s="417"/>
      <c r="AJ30" s="417"/>
      <c r="AK30" s="417"/>
      <c r="AL30" s="417"/>
      <c r="AM30" s="472"/>
      <c r="AN30" s="240">
        <f t="shared" si="6"/>
        <v>0</v>
      </c>
      <c r="AO30" s="240">
        <f t="shared" si="7"/>
        <v>0</v>
      </c>
      <c r="AP30" s="240">
        <f t="shared" si="8"/>
        <v>0</v>
      </c>
      <c r="AQ30" s="242">
        <f t="shared" si="22"/>
        <v>0</v>
      </c>
      <c r="AR30" s="245"/>
      <c r="AS30" s="245"/>
      <c r="AT30" s="245"/>
      <c r="AU30" s="420"/>
      <c r="AZ30" s="189"/>
      <c r="BA30" s="189"/>
      <c r="BB30" s="189"/>
      <c r="BC30" s="189"/>
      <c r="BD30" s="189"/>
      <c r="BE30" s="189"/>
      <c r="BG30" s="145">
        <f>IF($K30&gt;=0,+SUM(L$9:$L30)-$B30+Mar!$AZ$41+SUM(AQ$9:$AQ30)," ")+0.01</f>
        <v>3.3333333333962403E-3</v>
      </c>
      <c r="BH30" s="144">
        <f t="shared" ref="BH30:BH36" si="56">IF(BG30&lt;0,-1,1)</f>
        <v>1</v>
      </c>
      <c r="BI30" s="146">
        <f t="shared" ref="BI30:BI36" si="57">FLOOR(BG30,BH30)</f>
        <v>0</v>
      </c>
      <c r="BJ30" s="146">
        <f t="shared" ref="BJ30:BJ36" si="58">+BG30-BI30</f>
        <v>3.3333333333962403E-3</v>
      </c>
      <c r="BK30" s="146">
        <f t="shared" ref="BK30:BK36" si="59">+BJ30/100*60</f>
        <v>2.0000000000377442E-3</v>
      </c>
      <c r="BL30" s="164">
        <f t="shared" si="55"/>
        <v>2.0000000000377442E-3</v>
      </c>
      <c r="BM30" s="157">
        <f t="shared" si="35"/>
        <v>6.24</v>
      </c>
      <c r="BN30">
        <f t="shared" si="36"/>
        <v>2</v>
      </c>
    </row>
    <row r="31" spans="1:66" ht="15.95" customHeight="1" x14ac:dyDescent="0.25">
      <c r="A31" s="83"/>
      <c r="B31" s="84" t="str">
        <f>IF($I31&lt;&gt;"",IF(WEEKDAY($I31,2)&lt;6,IF(VLOOKUP(WEEKDAY($I31,2),InputUge,3)&gt;0,IF($A31="",VLOOKUP(WEEKDAY($I31,2),InputUge,3)+MAX(B$8:B30),IF($A31&lt;VLOOKUP(WEEKDAY($I31,2),InputUge,3),$A31+MAX(B$8:B30),VLOOKUP(WEEKDAY($I31,2),InputUge,3)+MAX(B$8:B30))),""),""),"")</f>
        <v/>
      </c>
      <c r="C31" s="144">
        <f t="shared" si="16"/>
        <v>1</v>
      </c>
      <c r="D31" s="146" t="e">
        <f t="shared" si="17"/>
        <v>#VALUE!</v>
      </c>
      <c r="E31" s="146" t="e">
        <f t="shared" si="18"/>
        <v>#VALUE!</v>
      </c>
      <c r="F31" s="146" t="e">
        <f t="shared" si="19"/>
        <v>#VALUE!</v>
      </c>
      <c r="G31" s="261"/>
      <c r="H31" s="4">
        <v>23</v>
      </c>
      <c r="I31" s="16">
        <f t="shared" si="20"/>
        <v>41356</v>
      </c>
      <c r="J31" s="6"/>
      <c r="K31" s="6"/>
      <c r="L31" s="5" t="str">
        <f t="shared" si="50"/>
        <v/>
      </c>
      <c r="M31" s="141" t="e">
        <f t="shared" si="51"/>
        <v>#VALUE!</v>
      </c>
      <c r="N31" s="141" t="e">
        <f t="shared" si="52"/>
        <v>#VALUE!</v>
      </c>
      <c r="O31" s="141" t="e">
        <f t="shared" si="53"/>
        <v>#VALUE!</v>
      </c>
      <c r="P31" s="162" t="str">
        <f t="shared" si="54"/>
        <v/>
      </c>
      <c r="Q31" s="591"/>
      <c r="R31" s="592"/>
      <c r="S31" s="592"/>
      <c r="T31" s="593"/>
      <c r="U31" s="417"/>
      <c r="V31" s="240">
        <f t="shared" si="37"/>
        <v>0</v>
      </c>
      <c r="W31" s="240">
        <f t="shared" si="30"/>
        <v>0</v>
      </c>
      <c r="X31" s="240">
        <f t="shared" si="31"/>
        <v>0</v>
      </c>
      <c r="Y31" s="243">
        <f t="shared" si="32"/>
        <v>0</v>
      </c>
      <c r="Z31" s="417"/>
      <c r="AA31" s="417"/>
      <c r="AB31" s="417"/>
      <c r="AC31" s="417"/>
      <c r="AD31" s="417"/>
      <c r="AE31" s="240">
        <f t="shared" si="4"/>
        <v>0</v>
      </c>
      <c r="AF31" s="240">
        <f t="shared" si="21"/>
        <v>0</v>
      </c>
      <c r="AG31" s="240">
        <f t="shared" si="5"/>
        <v>0</v>
      </c>
      <c r="AH31" s="243">
        <f t="shared" si="29"/>
        <v>0</v>
      </c>
      <c r="AI31" s="417"/>
      <c r="AJ31" s="417"/>
      <c r="AK31" s="417"/>
      <c r="AL31" s="417"/>
      <c r="AM31" s="472"/>
      <c r="AN31" s="240">
        <f t="shared" si="6"/>
        <v>0</v>
      </c>
      <c r="AO31" s="240">
        <f t="shared" si="7"/>
        <v>0</v>
      </c>
      <c r="AP31" s="240">
        <f t="shared" si="8"/>
        <v>0</v>
      </c>
      <c r="AQ31" s="242">
        <f t="shared" si="22"/>
        <v>0</v>
      </c>
      <c r="AR31" s="245"/>
      <c r="AS31" s="245"/>
      <c r="AT31" s="245"/>
      <c r="AU31" s="420"/>
      <c r="AZ31" s="189"/>
      <c r="BA31" s="189"/>
      <c r="BB31" s="189"/>
      <c r="BC31" s="189"/>
      <c r="BD31" s="189"/>
      <c r="BE31" s="189"/>
      <c r="BG31" s="145" t="e">
        <f>IF($K31&gt;=0,+SUM(L$9:$L31)-$B31+Mar!$AZ$41+SUM(AQ$9:$AQ31)," ")</f>
        <v>#VALUE!</v>
      </c>
      <c r="BH31" s="144" t="e">
        <f t="shared" si="56"/>
        <v>#VALUE!</v>
      </c>
      <c r="BI31" s="146" t="e">
        <f t="shared" si="57"/>
        <v>#VALUE!</v>
      </c>
      <c r="BJ31" s="146" t="e">
        <f t="shared" si="58"/>
        <v>#VALUE!</v>
      </c>
      <c r="BK31" s="146" t="e">
        <f t="shared" si="59"/>
        <v>#VALUE!</v>
      </c>
      <c r="BL31" s="164" t="str">
        <f t="shared" si="55"/>
        <v/>
      </c>
      <c r="BM31" s="157" t="str">
        <f t="shared" si="35"/>
        <v/>
      </c>
      <c r="BN31">
        <f t="shared" si="36"/>
        <v>1</v>
      </c>
    </row>
    <row r="32" spans="1:66" ht="15.95" customHeight="1" x14ac:dyDescent="0.25">
      <c r="A32" s="83"/>
      <c r="B32" s="84" t="str">
        <f>IF($I32&lt;&gt;"",IF(WEEKDAY($I32,2)&lt;6,IF(VLOOKUP(WEEKDAY($I32,2),InputUge,3)&gt;0,IF($A32="",VLOOKUP(WEEKDAY($I32,2),InputUge,3)+MAX(B$8:B31),IF($A32&lt;VLOOKUP(WEEKDAY($I32,2),InputUge,3),$A32+MAX(B$8:B31),VLOOKUP(WEEKDAY($I32,2),InputUge,3)+MAX(B$8:B31))),""),""),"")</f>
        <v/>
      </c>
      <c r="C32" s="144">
        <f t="shared" si="16"/>
        <v>1</v>
      </c>
      <c r="D32" s="146" t="e">
        <f t="shared" si="17"/>
        <v>#VALUE!</v>
      </c>
      <c r="E32" s="146" t="e">
        <f t="shared" si="18"/>
        <v>#VALUE!</v>
      </c>
      <c r="F32" s="146" t="e">
        <f t="shared" si="19"/>
        <v>#VALUE!</v>
      </c>
      <c r="G32" s="261"/>
      <c r="H32" s="4">
        <v>24</v>
      </c>
      <c r="I32" s="16">
        <f t="shared" si="20"/>
        <v>41357</v>
      </c>
      <c r="J32" s="6"/>
      <c r="K32" s="6"/>
      <c r="L32" s="5"/>
      <c r="M32" s="141"/>
      <c r="N32" s="141"/>
      <c r="O32" s="141"/>
      <c r="P32" s="162"/>
      <c r="Q32" s="591"/>
      <c r="R32" s="592"/>
      <c r="S32" s="592"/>
      <c r="T32" s="593"/>
      <c r="U32" s="417"/>
      <c r="V32" s="240">
        <f t="shared" si="37"/>
        <v>0</v>
      </c>
      <c r="W32" s="240">
        <f t="shared" si="30"/>
        <v>0</v>
      </c>
      <c r="X32" s="240">
        <f t="shared" si="31"/>
        <v>0</v>
      </c>
      <c r="Y32" s="243">
        <f t="shared" si="32"/>
        <v>0</v>
      </c>
      <c r="Z32" s="417"/>
      <c r="AA32" s="417"/>
      <c r="AB32" s="417"/>
      <c r="AC32" s="417"/>
      <c r="AD32" s="417"/>
      <c r="AE32" s="240">
        <f t="shared" si="4"/>
        <v>0</v>
      </c>
      <c r="AF32" s="240">
        <f t="shared" si="21"/>
        <v>0</v>
      </c>
      <c r="AG32" s="240">
        <f t="shared" si="5"/>
        <v>0</v>
      </c>
      <c r="AH32" s="243">
        <f t="shared" si="29"/>
        <v>0</v>
      </c>
      <c r="AI32" s="417"/>
      <c r="AJ32" s="417"/>
      <c r="AK32" s="417"/>
      <c r="AL32" s="417"/>
      <c r="AM32" s="472"/>
      <c r="AN32" s="240">
        <f t="shared" si="6"/>
        <v>0</v>
      </c>
      <c r="AO32" s="240">
        <f t="shared" si="7"/>
        <v>0</v>
      </c>
      <c r="AP32" s="240">
        <f t="shared" si="8"/>
        <v>0</v>
      </c>
      <c r="AQ32" s="242">
        <f t="shared" si="22"/>
        <v>0</v>
      </c>
      <c r="AR32" s="245"/>
      <c r="AS32" s="245"/>
      <c r="AT32" s="245"/>
      <c r="AU32" s="420"/>
      <c r="AZ32" s="189"/>
      <c r="BA32" s="189"/>
      <c r="BB32" s="189"/>
      <c r="BC32" s="189"/>
      <c r="BD32" s="189"/>
      <c r="BE32" s="189"/>
      <c r="BG32" s="145" t="e">
        <f>IF($K32&gt;=0,+SUM(L$9:$L32)-$B32+Mar!$AZ$41+SUM(AQ$9:$AQ32)," ")</f>
        <v>#VALUE!</v>
      </c>
      <c r="BH32" s="144" t="e">
        <f t="shared" si="56"/>
        <v>#VALUE!</v>
      </c>
      <c r="BI32" s="146" t="e">
        <f t="shared" si="57"/>
        <v>#VALUE!</v>
      </c>
      <c r="BJ32" s="146" t="e">
        <f t="shared" si="58"/>
        <v>#VALUE!</v>
      </c>
      <c r="BK32" s="146" t="e">
        <f t="shared" si="59"/>
        <v>#VALUE!</v>
      </c>
      <c r="BL32" s="164"/>
      <c r="BM32" s="157">
        <f t="shared" si="35"/>
        <v>0</v>
      </c>
      <c r="BN32">
        <f t="shared" si="36"/>
        <v>2</v>
      </c>
    </row>
    <row r="33" spans="1:67" ht="15.95" customHeight="1" x14ac:dyDescent="0.25">
      <c r="A33" s="83"/>
      <c r="B33" s="84">
        <f>IF($I33&lt;&gt;"",IF(WEEKDAY($I33,2)&lt;6,IF(VLOOKUP(WEEKDAY($I33,2),InputUge,3)&gt;0,IF($A33="",VLOOKUP(WEEKDAY($I33,2),InputUge,3)+MAX(B$8:B32),IF($A33&lt;VLOOKUP(WEEKDAY($I33,2),InputUge,3),$A33+MAX(B$8:B32),VLOOKUP(WEEKDAY($I33,2),InputUge,3)+MAX(B$8:B32))),""),""),"")</f>
        <v>124.48333333333332</v>
      </c>
      <c r="C33" s="144">
        <f t="shared" si="16"/>
        <v>1</v>
      </c>
      <c r="D33" s="146">
        <f t="shared" si="17"/>
        <v>124</v>
      </c>
      <c r="E33" s="146">
        <f t="shared" si="18"/>
        <v>0.48333333333332007</v>
      </c>
      <c r="F33" s="146">
        <f t="shared" si="19"/>
        <v>0.28999999999999204</v>
      </c>
      <c r="G33" s="261">
        <f t="shared" si="23"/>
        <v>124.28999999999999</v>
      </c>
      <c r="H33" s="4">
        <v>25</v>
      </c>
      <c r="I33" s="16">
        <f t="shared" si="20"/>
        <v>41358</v>
      </c>
      <c r="J33" s="6">
        <v>0.34791666666666665</v>
      </c>
      <c r="K33" s="6">
        <v>0.64236111111111105</v>
      </c>
      <c r="L33" s="5">
        <f t="shared" ref="L33:L38" si="60">IF(K33&gt;0,ROUND(((K33-J33)*24)-SUM(BR33:BS33)+BT33,2)+IF(Fredagsfrokost="n",IF(WEEKDAY($I33,2)=5,IF(K33&gt;=0.5,IF(K33&lt;=13/24,0,0),0),0),0),IF(AW33&gt;0,AW33,""))</f>
        <v>7.07</v>
      </c>
      <c r="M33" s="141">
        <f t="shared" ref="M33:M38" si="61">FLOOR(L33,1)</f>
        <v>7</v>
      </c>
      <c r="N33" s="141">
        <f t="shared" ref="N33:N38" si="62">+L33-M33</f>
        <v>7.0000000000000284E-2</v>
      </c>
      <c r="O33" s="141">
        <f t="shared" ref="O33:O38" si="63">+N33/100*60</f>
        <v>4.2000000000000169E-2</v>
      </c>
      <c r="P33" s="162">
        <f t="shared" ref="P33:P38" si="64">IF(J33="","",O33+M33)</f>
        <v>7.0419999999999998</v>
      </c>
      <c r="Q33" s="591"/>
      <c r="R33" s="592"/>
      <c r="S33" s="592"/>
      <c r="T33" s="593"/>
      <c r="U33" s="417"/>
      <c r="V33" s="240">
        <f t="shared" si="37"/>
        <v>0</v>
      </c>
      <c r="W33" s="240">
        <f t="shared" si="30"/>
        <v>0</v>
      </c>
      <c r="X33" s="240">
        <f t="shared" si="31"/>
        <v>0</v>
      </c>
      <c r="Y33" s="243">
        <f t="shared" si="32"/>
        <v>0</v>
      </c>
      <c r="Z33" s="417"/>
      <c r="AA33" s="417"/>
      <c r="AB33" s="417"/>
      <c r="AC33" s="417"/>
      <c r="AD33" s="417"/>
      <c r="AE33" s="240">
        <f t="shared" si="4"/>
        <v>0</v>
      </c>
      <c r="AF33" s="240">
        <f t="shared" si="21"/>
        <v>0</v>
      </c>
      <c r="AG33" s="240">
        <f t="shared" si="5"/>
        <v>0</v>
      </c>
      <c r="AH33" s="243">
        <f t="shared" si="29"/>
        <v>0</v>
      </c>
      <c r="AI33" s="417"/>
      <c r="AJ33" s="417"/>
      <c r="AK33" s="417"/>
      <c r="AL33" s="417"/>
      <c r="AM33" s="472"/>
      <c r="AN33" s="240">
        <f t="shared" si="6"/>
        <v>0</v>
      </c>
      <c r="AO33" s="240">
        <f t="shared" si="7"/>
        <v>0</v>
      </c>
      <c r="AP33" s="240">
        <f t="shared" si="8"/>
        <v>0</v>
      </c>
      <c r="AQ33" s="242">
        <f t="shared" si="22"/>
        <v>0</v>
      </c>
      <c r="AR33" s="245"/>
      <c r="AS33" s="245"/>
      <c r="AT33" s="245"/>
      <c r="AU33" s="420"/>
      <c r="AZ33" s="189"/>
      <c r="BA33" s="189"/>
      <c r="BB33" s="189"/>
      <c r="BC33" s="189"/>
      <c r="BD33" s="189"/>
      <c r="BE33" s="189"/>
      <c r="BG33" s="145">
        <f>IF($K33&gt;=0,+SUM(L$9:$L33)-$B33+Mar!$AZ$41+SUM(AQ$9:$AQ33)," ")</f>
        <v>5.6843418860808015E-14</v>
      </c>
      <c r="BH33" s="144">
        <f t="shared" si="56"/>
        <v>1</v>
      </c>
      <c r="BI33" s="146">
        <f t="shared" si="57"/>
        <v>0</v>
      </c>
      <c r="BJ33" s="146">
        <f t="shared" si="58"/>
        <v>5.6843418860808015E-14</v>
      </c>
      <c r="BK33" s="146">
        <f t="shared" si="59"/>
        <v>3.4106051316484808E-14</v>
      </c>
      <c r="BL33" s="164">
        <f t="shared" ref="BL33:BL38" si="65">IF(BN33=2,+BK33+BI33,"")</f>
        <v>3.4106051316484808E-14</v>
      </c>
      <c r="BM33" s="157">
        <f t="shared" si="35"/>
        <v>7.0419999999999998</v>
      </c>
      <c r="BN33">
        <f t="shared" si="36"/>
        <v>2</v>
      </c>
    </row>
    <row r="34" spans="1:67" ht="15.95" customHeight="1" x14ac:dyDescent="0.25">
      <c r="A34" s="83"/>
      <c r="B34" s="84">
        <f>IF($I34&lt;&gt;"",IF(WEEKDAY($I34,2)&lt;6,IF(VLOOKUP(WEEKDAY($I34,2),InputUge,3)&gt;0,IF($A34="",VLOOKUP(WEEKDAY($I34,2),InputUge,3)+MAX(B$8:B33),IF($A34&lt;VLOOKUP(WEEKDAY($I34,2),InputUge,3),$A34+MAX(B$8:B33),VLOOKUP(WEEKDAY($I34,2),InputUge,3)+MAX(B$8:B33))),""),""),"")</f>
        <v>131.54999999999998</v>
      </c>
      <c r="C34" s="144">
        <f t="shared" si="16"/>
        <v>1</v>
      </c>
      <c r="D34" s="146">
        <f t="shared" si="17"/>
        <v>131</v>
      </c>
      <c r="E34" s="146">
        <f t="shared" si="18"/>
        <v>0.54999999999998295</v>
      </c>
      <c r="F34" s="146">
        <f t="shared" si="19"/>
        <v>0.3299999999999898</v>
      </c>
      <c r="G34" s="261">
        <f t="shared" si="23"/>
        <v>131.32999999999998</v>
      </c>
      <c r="H34" s="4">
        <v>26</v>
      </c>
      <c r="I34" s="16">
        <f t="shared" si="20"/>
        <v>41359</v>
      </c>
      <c r="J34" s="6">
        <v>0.34791666666666665</v>
      </c>
      <c r="K34" s="6">
        <v>0.64236111111111105</v>
      </c>
      <c r="L34" s="5">
        <f t="shared" si="60"/>
        <v>7.07</v>
      </c>
      <c r="M34" s="141">
        <f t="shared" si="61"/>
        <v>7</v>
      </c>
      <c r="N34" s="141">
        <f t="shared" si="62"/>
        <v>7.0000000000000284E-2</v>
      </c>
      <c r="O34" s="141">
        <f t="shared" si="63"/>
        <v>4.2000000000000169E-2</v>
      </c>
      <c r="P34" s="162">
        <f t="shared" si="64"/>
        <v>7.0419999999999998</v>
      </c>
      <c r="Q34" s="591"/>
      <c r="R34" s="592"/>
      <c r="S34" s="592"/>
      <c r="T34" s="593"/>
      <c r="U34" s="417"/>
      <c r="V34" s="240">
        <f t="shared" si="37"/>
        <v>0</v>
      </c>
      <c r="W34" s="240">
        <f t="shared" si="30"/>
        <v>0</v>
      </c>
      <c r="X34" s="240">
        <f t="shared" si="31"/>
        <v>0</v>
      </c>
      <c r="Y34" s="243">
        <f t="shared" si="32"/>
        <v>0</v>
      </c>
      <c r="Z34" s="417"/>
      <c r="AA34" s="417"/>
      <c r="AB34" s="417"/>
      <c r="AC34" s="417"/>
      <c r="AD34" s="417"/>
      <c r="AE34" s="240">
        <f t="shared" si="4"/>
        <v>0</v>
      </c>
      <c r="AF34" s="240">
        <f t="shared" si="21"/>
        <v>0</v>
      </c>
      <c r="AG34" s="240">
        <f t="shared" si="5"/>
        <v>0</v>
      </c>
      <c r="AH34" s="243">
        <f t="shared" si="29"/>
        <v>0</v>
      </c>
      <c r="AI34" s="417"/>
      <c r="AJ34" s="417"/>
      <c r="AK34" s="417"/>
      <c r="AL34" s="417"/>
      <c r="AM34" s="472"/>
      <c r="AN34" s="240">
        <f t="shared" si="6"/>
        <v>0</v>
      </c>
      <c r="AO34" s="240">
        <f t="shared" si="7"/>
        <v>0</v>
      </c>
      <c r="AP34" s="240">
        <f t="shared" si="8"/>
        <v>0</v>
      </c>
      <c r="AQ34" s="242">
        <f t="shared" si="22"/>
        <v>0</v>
      </c>
      <c r="AR34" s="245"/>
      <c r="AS34" s="245"/>
      <c r="AT34" s="245"/>
      <c r="AU34" s="420"/>
      <c r="AZ34" s="189"/>
      <c r="BA34" s="189"/>
      <c r="BB34" s="189"/>
      <c r="BC34" s="189"/>
      <c r="BD34" s="189"/>
      <c r="BE34" s="189"/>
      <c r="BG34" s="145">
        <f>IF($K34&gt;=0,+SUM(L$9:$L34)-$B34+Mar!$AZ$41+SUM(AQ$9:$AQ34)," ")</f>
        <v>3.3333333333871451E-3</v>
      </c>
      <c r="BH34" s="144">
        <f t="shared" si="56"/>
        <v>1</v>
      </c>
      <c r="BI34" s="146">
        <f t="shared" si="57"/>
        <v>0</v>
      </c>
      <c r="BJ34" s="146">
        <f t="shared" si="58"/>
        <v>3.3333333333871451E-3</v>
      </c>
      <c r="BK34" s="146">
        <f t="shared" si="59"/>
        <v>2.0000000000322871E-3</v>
      </c>
      <c r="BL34" s="164">
        <f t="shared" si="65"/>
        <v>2.0000000000322871E-3</v>
      </c>
      <c r="BM34" s="157">
        <f t="shared" si="35"/>
        <v>7.0419999999999998</v>
      </c>
      <c r="BN34">
        <f t="shared" si="36"/>
        <v>2</v>
      </c>
    </row>
    <row r="35" spans="1:67" ht="15.95" customHeight="1" x14ac:dyDescent="0.25">
      <c r="A35" s="83"/>
      <c r="B35" s="84">
        <f>IF($I35&lt;&gt;"",IF(WEEKDAY($I35,2)&lt;6,IF(VLOOKUP(WEEKDAY($I35,2),InputUge,3)&gt;0,IF($A35="",VLOOKUP(WEEKDAY($I35,2),InputUge,3)+MAX(B$8:B34),IF($A35&lt;VLOOKUP(WEEKDAY($I35,2),InputUge,3),$A35+MAX(B$8:B34),VLOOKUP(WEEKDAY($I35,2),InputUge,3)+MAX(B$8:B34))),""),""),"")</f>
        <v>138.61666666666665</v>
      </c>
      <c r="C35" s="144">
        <f t="shared" si="16"/>
        <v>1</v>
      </c>
      <c r="D35" s="146">
        <f t="shared" si="17"/>
        <v>138</v>
      </c>
      <c r="E35" s="146">
        <f t="shared" si="18"/>
        <v>0.61666666666664582</v>
      </c>
      <c r="F35" s="146">
        <f t="shared" si="19"/>
        <v>0.36999999999998751</v>
      </c>
      <c r="G35" s="261">
        <f t="shared" si="23"/>
        <v>138.36999999999998</v>
      </c>
      <c r="H35" s="4">
        <v>27</v>
      </c>
      <c r="I35" s="16">
        <f t="shared" si="20"/>
        <v>41360</v>
      </c>
      <c r="J35" s="6">
        <v>0.34791666666666665</v>
      </c>
      <c r="K35" s="6">
        <v>0.64236111111111105</v>
      </c>
      <c r="L35" s="5">
        <f t="shared" si="60"/>
        <v>7.07</v>
      </c>
      <c r="M35" s="141">
        <f t="shared" si="61"/>
        <v>7</v>
      </c>
      <c r="N35" s="141">
        <f t="shared" si="62"/>
        <v>7.0000000000000284E-2</v>
      </c>
      <c r="O35" s="141">
        <f t="shared" si="63"/>
        <v>4.2000000000000169E-2</v>
      </c>
      <c r="P35" s="162">
        <f t="shared" si="64"/>
        <v>7.0419999999999998</v>
      </c>
      <c r="Q35" s="591"/>
      <c r="R35" s="592"/>
      <c r="S35" s="592"/>
      <c r="T35" s="593"/>
      <c r="U35" s="417"/>
      <c r="V35" s="240">
        <f t="shared" si="37"/>
        <v>0</v>
      </c>
      <c r="W35" s="240">
        <f t="shared" si="30"/>
        <v>0</v>
      </c>
      <c r="X35" s="240">
        <f t="shared" si="31"/>
        <v>0</v>
      </c>
      <c r="Y35" s="243">
        <f t="shared" si="32"/>
        <v>0</v>
      </c>
      <c r="Z35" s="417"/>
      <c r="AA35" s="417"/>
      <c r="AB35" s="417"/>
      <c r="AC35" s="417"/>
      <c r="AD35" s="417"/>
      <c r="AE35" s="240">
        <f t="shared" si="4"/>
        <v>0</v>
      </c>
      <c r="AF35" s="240">
        <f t="shared" si="21"/>
        <v>0</v>
      </c>
      <c r="AG35" s="240">
        <f t="shared" si="5"/>
        <v>0</v>
      </c>
      <c r="AH35" s="243">
        <f t="shared" si="29"/>
        <v>0</v>
      </c>
      <c r="AI35" s="417"/>
      <c r="AJ35" s="417"/>
      <c r="AK35" s="417"/>
      <c r="AL35" s="417"/>
      <c r="AM35" s="472"/>
      <c r="AN35" s="240">
        <f t="shared" si="6"/>
        <v>0</v>
      </c>
      <c r="AO35" s="240">
        <f t="shared" si="7"/>
        <v>0</v>
      </c>
      <c r="AP35" s="240">
        <f t="shared" si="8"/>
        <v>0</v>
      </c>
      <c r="AQ35" s="242">
        <f t="shared" si="22"/>
        <v>0</v>
      </c>
      <c r="AR35" s="245"/>
      <c r="AS35" s="245"/>
      <c r="AT35" s="245"/>
      <c r="AU35" s="420"/>
      <c r="AZ35" s="189"/>
      <c r="BA35" s="189"/>
      <c r="BB35" s="189"/>
      <c r="BC35" s="189"/>
      <c r="BD35" s="189"/>
      <c r="BE35" s="189"/>
      <c r="BG35" s="145">
        <f>IF($K35&gt;=0,+SUM(L$9:$L35)-$B35+Mar!$AZ$41+SUM(AQ$9:$AQ35)," ")</f>
        <v>6.6666666667174468E-3</v>
      </c>
      <c r="BH35" s="144">
        <f t="shared" si="56"/>
        <v>1</v>
      </c>
      <c r="BI35" s="146">
        <f t="shared" si="57"/>
        <v>0</v>
      </c>
      <c r="BJ35" s="146">
        <f t="shared" si="58"/>
        <v>6.6666666667174468E-3</v>
      </c>
      <c r="BK35" s="146">
        <f t="shared" si="59"/>
        <v>4.0000000000304679E-3</v>
      </c>
      <c r="BL35" s="164">
        <f t="shared" si="65"/>
        <v>4.0000000000304679E-3</v>
      </c>
      <c r="BM35" s="157">
        <f>+P35</f>
        <v>7.0419999999999998</v>
      </c>
      <c r="BN35">
        <f t="shared" si="36"/>
        <v>2</v>
      </c>
    </row>
    <row r="36" spans="1:67" ht="15.95" customHeight="1" x14ac:dyDescent="0.25">
      <c r="A36" s="488" t="s">
        <v>118</v>
      </c>
      <c r="B36" s="84">
        <f>IF($I36&lt;&gt;"",IF(WEEKDAY($I36,2)&lt;6,IF(VLOOKUP(WEEKDAY($I36,2),InputUge,3)&gt;0,IF($A36="",VLOOKUP(WEEKDAY($I36,2),InputUge,3)+MAX(B$8:B35),IF($A36&lt;VLOOKUP(WEEKDAY($I36,2),InputUge,3),$A36+MAX(B$8:B35),VLOOKUP(WEEKDAY($I36,2),InputUge,3)+MAX(B$8:B35))),""),""),"")</f>
        <v>148.02666666666664</v>
      </c>
      <c r="C36" s="144">
        <f t="shared" si="16"/>
        <v>1</v>
      </c>
      <c r="D36" s="146">
        <f t="shared" si="17"/>
        <v>148</v>
      </c>
      <c r="E36" s="146">
        <f t="shared" si="18"/>
        <v>2.6666666666642413E-2</v>
      </c>
      <c r="F36" s="146">
        <f t="shared" si="19"/>
        <v>1.5999999999985449E-2</v>
      </c>
      <c r="G36" s="261">
        <f t="shared" si="23"/>
        <v>148.01599999999999</v>
      </c>
      <c r="H36" s="4">
        <v>28</v>
      </c>
      <c r="I36" s="16">
        <f t="shared" si="20"/>
        <v>41361</v>
      </c>
      <c r="J36" s="489">
        <v>0.34791666666666665</v>
      </c>
      <c r="K36" s="489">
        <v>0.73958333333333337</v>
      </c>
      <c r="L36" s="490">
        <f t="shared" si="60"/>
        <v>9.4</v>
      </c>
      <c r="M36" s="491">
        <f t="shared" si="61"/>
        <v>9</v>
      </c>
      <c r="N36" s="491">
        <f t="shared" si="62"/>
        <v>0.40000000000000036</v>
      </c>
      <c r="O36" s="491">
        <f t="shared" si="63"/>
        <v>0.24000000000000021</v>
      </c>
      <c r="P36" s="491">
        <f t="shared" si="64"/>
        <v>9.24</v>
      </c>
      <c r="Q36" s="591"/>
      <c r="R36" s="592"/>
      <c r="S36" s="592"/>
      <c r="T36" s="593"/>
      <c r="U36" s="417"/>
      <c r="V36" s="240">
        <f t="shared" si="37"/>
        <v>0</v>
      </c>
      <c r="W36" s="240">
        <f t="shared" si="30"/>
        <v>0</v>
      </c>
      <c r="X36" s="240">
        <f t="shared" si="31"/>
        <v>0</v>
      </c>
      <c r="Y36" s="243">
        <f t="shared" si="32"/>
        <v>0</v>
      </c>
      <c r="Z36" s="417"/>
      <c r="AA36" s="417"/>
      <c r="AB36" s="417"/>
      <c r="AC36" s="417"/>
      <c r="AD36" s="417"/>
      <c r="AE36" s="240">
        <f t="shared" si="4"/>
        <v>0</v>
      </c>
      <c r="AF36" s="240">
        <f t="shared" si="21"/>
        <v>0</v>
      </c>
      <c r="AG36" s="240">
        <f t="shared" si="5"/>
        <v>0</v>
      </c>
      <c r="AH36" s="243">
        <f t="shared" si="29"/>
        <v>0</v>
      </c>
      <c r="AI36" s="417"/>
      <c r="AJ36" s="417"/>
      <c r="AK36" s="417"/>
      <c r="AL36" s="417"/>
      <c r="AM36" s="472"/>
      <c r="AN36" s="240">
        <f t="shared" si="6"/>
        <v>0</v>
      </c>
      <c r="AO36" s="240">
        <f t="shared" si="7"/>
        <v>0</v>
      </c>
      <c r="AP36" s="240">
        <f t="shared" si="8"/>
        <v>0</v>
      </c>
      <c r="AQ36" s="242">
        <f t="shared" si="22"/>
        <v>0</v>
      </c>
      <c r="AR36" s="245"/>
      <c r="AS36" s="245"/>
      <c r="AT36" s="245"/>
      <c r="AU36" s="420"/>
      <c r="AZ36" s="189"/>
      <c r="BA36" s="189"/>
      <c r="BB36" s="189"/>
      <c r="BC36" s="189"/>
      <c r="BD36" s="189"/>
      <c r="BE36" s="189"/>
      <c r="BG36" s="145">
        <f>IF($K36&gt;=0,+SUM(L$9:$L36)-$B36+Mar!$AZ$41+SUM(AQ$9:$AQ36)," ")+0.01</f>
        <v>6.6666666667265419E-3</v>
      </c>
      <c r="BH36" s="144">
        <f t="shared" si="56"/>
        <v>1</v>
      </c>
      <c r="BI36" s="146">
        <f t="shared" si="57"/>
        <v>0</v>
      </c>
      <c r="BJ36" s="146">
        <f t="shared" si="58"/>
        <v>6.6666666667265419E-3</v>
      </c>
      <c r="BK36" s="146">
        <f t="shared" si="59"/>
        <v>4.0000000000359253E-3</v>
      </c>
      <c r="BL36" s="164">
        <f t="shared" si="65"/>
        <v>4.0000000000359253E-3</v>
      </c>
      <c r="BM36" s="157">
        <f t="shared" si="35"/>
        <v>9.24</v>
      </c>
      <c r="BN36">
        <f t="shared" si="36"/>
        <v>2</v>
      </c>
    </row>
    <row r="37" spans="1:67" ht="15.95" customHeight="1" x14ac:dyDescent="0.25">
      <c r="A37" s="488" t="s">
        <v>118</v>
      </c>
      <c r="B37" s="84">
        <f>IF($I37&lt;&gt;"",IF(WEEKDAY($I37,2)&lt;6,IF(VLOOKUP(WEEKDAY($I37,2),InputUge,3)&gt;0,IF($A37="",VLOOKUP(WEEKDAY($I37,2),InputUge,3)+MAX(B$8:B36),IF($A37&lt;VLOOKUP(WEEKDAY($I37,2),InputUge,3),$A37+MAX(B$8:B36),VLOOKUP(WEEKDAY($I37,2),InputUge,3)+MAX(B$8:B36))),""),""),"")</f>
        <v>154.42666666666665</v>
      </c>
      <c r="C37" s="144">
        <f t="shared" si="16"/>
        <v>1</v>
      </c>
      <c r="D37" s="146">
        <f t="shared" si="17"/>
        <v>154</v>
      </c>
      <c r="E37" s="146">
        <f t="shared" si="18"/>
        <v>0.4266666666666481</v>
      </c>
      <c r="F37" s="146">
        <f t="shared" si="19"/>
        <v>0.2559999999999889</v>
      </c>
      <c r="G37" s="261">
        <f t="shared" si="23"/>
        <v>154.256</v>
      </c>
      <c r="H37" s="4">
        <v>29</v>
      </c>
      <c r="I37" s="16">
        <f t="shared" si="20"/>
        <v>41362</v>
      </c>
      <c r="J37" s="489">
        <v>0.34791666666666665</v>
      </c>
      <c r="K37" s="489">
        <v>0.61458333333333337</v>
      </c>
      <c r="L37" s="490">
        <f t="shared" si="60"/>
        <v>6.4</v>
      </c>
      <c r="M37" s="491">
        <f t="shared" si="61"/>
        <v>6</v>
      </c>
      <c r="N37" s="491">
        <f t="shared" si="62"/>
        <v>0.40000000000000036</v>
      </c>
      <c r="O37" s="491">
        <f t="shared" si="63"/>
        <v>0.24000000000000021</v>
      </c>
      <c r="P37" s="491">
        <f t="shared" si="64"/>
        <v>6.24</v>
      </c>
      <c r="Q37" s="591"/>
      <c r="R37" s="592"/>
      <c r="S37" s="592"/>
      <c r="T37" s="593"/>
      <c r="U37" s="417"/>
      <c r="V37" s="240">
        <f t="shared" si="37"/>
        <v>0</v>
      </c>
      <c r="W37" s="240">
        <f t="shared" si="30"/>
        <v>0</v>
      </c>
      <c r="X37" s="240">
        <f t="shared" si="31"/>
        <v>0</v>
      </c>
      <c r="Y37" s="243">
        <f t="shared" si="32"/>
        <v>0</v>
      </c>
      <c r="Z37" s="417"/>
      <c r="AA37" s="417"/>
      <c r="AB37" s="417"/>
      <c r="AC37" s="417"/>
      <c r="AD37" s="417"/>
      <c r="AE37" s="240">
        <f t="shared" si="4"/>
        <v>0</v>
      </c>
      <c r="AF37" s="240">
        <f t="shared" si="21"/>
        <v>0</v>
      </c>
      <c r="AG37" s="240">
        <f t="shared" si="5"/>
        <v>0</v>
      </c>
      <c r="AH37" s="243">
        <f t="shared" si="29"/>
        <v>0</v>
      </c>
      <c r="AI37" s="417"/>
      <c r="AJ37" s="417"/>
      <c r="AK37" s="417"/>
      <c r="AL37" s="417"/>
      <c r="AM37" s="472"/>
      <c r="AN37" s="240">
        <f t="shared" si="6"/>
        <v>0</v>
      </c>
      <c r="AO37" s="240">
        <f t="shared" si="7"/>
        <v>0</v>
      </c>
      <c r="AP37" s="240">
        <f t="shared" si="8"/>
        <v>0</v>
      </c>
      <c r="AQ37" s="242">
        <f t="shared" si="22"/>
        <v>0</v>
      </c>
      <c r="AR37" s="245"/>
      <c r="AS37" s="245"/>
      <c r="AT37" s="245"/>
      <c r="AU37" s="420"/>
      <c r="AZ37" s="189"/>
      <c r="BA37" s="189"/>
      <c r="BB37" s="189"/>
      <c r="BC37" s="189"/>
      <c r="BD37" s="189"/>
      <c r="BE37" s="189"/>
      <c r="BG37" s="145">
        <f>IF($K37&gt;=0,+SUM(L$9:$L37)-$B37+Mar!$AZ$41+SUM(AQ$9:$AQ37)," ")+0.01</f>
        <v>6.6666666667265419E-3</v>
      </c>
      <c r="BH37" s="144">
        <f>IF(BG37&lt;0,-1,1)</f>
        <v>1</v>
      </c>
      <c r="BI37" s="146">
        <f>FLOOR(BG37,BH37)</f>
        <v>0</v>
      </c>
      <c r="BJ37" s="146">
        <f>+BG37-BI37</f>
        <v>6.6666666667265419E-3</v>
      </c>
      <c r="BK37" s="146">
        <f>+BJ37/100*60</f>
        <v>4.0000000000359253E-3</v>
      </c>
      <c r="BL37" s="164">
        <f t="shared" si="65"/>
        <v>4.0000000000359253E-3</v>
      </c>
      <c r="BM37" s="157">
        <f t="shared" si="35"/>
        <v>6.24</v>
      </c>
      <c r="BN37">
        <f t="shared" si="36"/>
        <v>2</v>
      </c>
    </row>
    <row r="38" spans="1:67" ht="15.95" customHeight="1" x14ac:dyDescent="0.25">
      <c r="A38" s="83"/>
      <c r="B38" s="84" t="str">
        <f>IF($I38&lt;&gt;"",IF(WEEKDAY($I38,2)&lt;6,IF(VLOOKUP(WEEKDAY($I38,2),InputUge,3)&gt;0,IF($A38="",VLOOKUP(WEEKDAY($I38,2),InputUge,3)+MAX(B$8:B37),IF($A38&lt;VLOOKUP(WEEKDAY($I38,2),InputUge,3),$A38+MAX(B$8:B37),VLOOKUP(WEEKDAY($I38,2),InputUge,3)+MAX(B$8:B37))),""),""),"")</f>
        <v/>
      </c>
      <c r="C38" s="144">
        <f t="shared" si="16"/>
        <v>1</v>
      </c>
      <c r="D38" s="146" t="e">
        <f t="shared" si="17"/>
        <v>#VALUE!</v>
      </c>
      <c r="E38" s="146" t="e">
        <f t="shared" si="18"/>
        <v>#VALUE!</v>
      </c>
      <c r="F38" s="146" t="e">
        <f t="shared" si="19"/>
        <v>#VALUE!</v>
      </c>
      <c r="G38" s="261"/>
      <c r="H38" s="4">
        <v>30</v>
      </c>
      <c r="I38" s="16">
        <f t="shared" si="20"/>
        <v>41363</v>
      </c>
      <c r="J38" s="6"/>
      <c r="K38" s="6"/>
      <c r="L38" s="5" t="str">
        <f t="shared" si="60"/>
        <v/>
      </c>
      <c r="M38" s="141" t="e">
        <f t="shared" si="61"/>
        <v>#VALUE!</v>
      </c>
      <c r="N38" s="141" t="e">
        <f t="shared" si="62"/>
        <v>#VALUE!</v>
      </c>
      <c r="O38" s="141" t="e">
        <f t="shared" si="63"/>
        <v>#VALUE!</v>
      </c>
      <c r="P38" s="162" t="str">
        <f t="shared" si="64"/>
        <v/>
      </c>
      <c r="Q38" s="591"/>
      <c r="R38" s="592"/>
      <c r="S38" s="592"/>
      <c r="T38" s="593"/>
      <c r="U38" s="417"/>
      <c r="V38" s="240">
        <f t="shared" si="37"/>
        <v>0</v>
      </c>
      <c r="W38" s="240">
        <f t="shared" si="30"/>
        <v>0</v>
      </c>
      <c r="X38" s="240">
        <f t="shared" si="31"/>
        <v>0</v>
      </c>
      <c r="Y38" s="243">
        <f t="shared" si="32"/>
        <v>0</v>
      </c>
      <c r="Z38" s="417"/>
      <c r="AA38" s="417"/>
      <c r="AB38" s="417"/>
      <c r="AC38" s="417"/>
      <c r="AD38" s="417"/>
      <c r="AE38" s="240">
        <f t="shared" si="4"/>
        <v>0</v>
      </c>
      <c r="AF38" s="240">
        <f t="shared" si="21"/>
        <v>0</v>
      </c>
      <c r="AG38" s="240">
        <f t="shared" si="5"/>
        <v>0</v>
      </c>
      <c r="AH38" s="243">
        <f t="shared" si="29"/>
        <v>0</v>
      </c>
      <c r="AI38" s="417"/>
      <c r="AJ38" s="417"/>
      <c r="AK38" s="417"/>
      <c r="AL38" s="417"/>
      <c r="AM38" s="472"/>
      <c r="AN38" s="240">
        <f t="shared" si="6"/>
        <v>0</v>
      </c>
      <c r="AO38" s="240">
        <f t="shared" si="7"/>
        <v>0</v>
      </c>
      <c r="AP38" s="240">
        <f t="shared" si="8"/>
        <v>0</v>
      </c>
      <c r="AQ38" s="242">
        <f t="shared" si="22"/>
        <v>0</v>
      </c>
      <c r="AR38" s="245"/>
      <c r="AS38" s="245"/>
      <c r="AT38" s="245"/>
      <c r="AU38" s="420"/>
      <c r="AZ38" s="189"/>
      <c r="BA38" s="189"/>
      <c r="BB38" s="189"/>
      <c r="BC38" s="189"/>
      <c r="BD38" s="189"/>
      <c r="BE38" s="189"/>
      <c r="BG38" s="145" t="e">
        <f>IF($K38&gt;=0,+SUM(L$9:$L38)-$B38+Mar!$AZ$41+SUM(AQ$9:$AQ38)," ")</f>
        <v>#VALUE!</v>
      </c>
      <c r="BH38" s="144" t="e">
        <f>IF(BG38&lt;0,-1,1)</f>
        <v>#VALUE!</v>
      </c>
      <c r="BI38" s="146" t="e">
        <f>FLOOR(BG38,BH38)</f>
        <v>#VALUE!</v>
      </c>
      <c r="BJ38" s="146" t="e">
        <f>+BG38-BI38</f>
        <v>#VALUE!</v>
      </c>
      <c r="BK38" s="146" t="e">
        <f>+BJ38/100*60</f>
        <v>#VALUE!</v>
      </c>
      <c r="BL38" s="164" t="str">
        <f t="shared" si="65"/>
        <v/>
      </c>
      <c r="BM38" s="157" t="str">
        <f>+P38</f>
        <v/>
      </c>
      <c r="BN38">
        <f t="shared" si="36"/>
        <v>1</v>
      </c>
    </row>
    <row r="39" spans="1:67" ht="15.95" customHeight="1" thickBot="1" x14ac:dyDescent="0.3">
      <c r="A39" s="85"/>
      <c r="B39" s="86" t="str">
        <f>IF($I39&lt;&gt;"",IF(WEEKDAY($I39,2)&lt;6,IF(VLOOKUP(WEEKDAY($I39,2),InputUge,3)&gt;0,IF($A39="",VLOOKUP(WEEKDAY($I39,2),InputUge,3)+MAX(B$8:B38),IF($A39&lt;VLOOKUP(WEEKDAY($I39,2),InputUge,3),$A39+MAX(B$8:B38),VLOOKUP(WEEKDAY($I39,2),InputUge,3)+MAX(B$8:B38))),""),""),"")</f>
        <v/>
      </c>
      <c r="C39" s="144">
        <f t="shared" si="16"/>
        <v>1</v>
      </c>
      <c r="D39" s="146" t="e">
        <f t="shared" si="17"/>
        <v>#VALUE!</v>
      </c>
      <c r="E39" s="146" t="e">
        <f t="shared" si="18"/>
        <v>#VALUE!</v>
      </c>
      <c r="F39" s="146" t="e">
        <f t="shared" si="19"/>
        <v>#VALUE!</v>
      </c>
      <c r="G39" s="261"/>
      <c r="H39" s="88">
        <v>31</v>
      </c>
      <c r="I39" s="89">
        <f t="shared" si="20"/>
        <v>41364</v>
      </c>
      <c r="J39" s="6"/>
      <c r="K39" s="6"/>
      <c r="L39" s="5"/>
      <c r="M39" s="141"/>
      <c r="N39" s="141"/>
      <c r="O39" s="141"/>
      <c r="P39" s="247"/>
      <c r="Q39" s="591"/>
      <c r="R39" s="592"/>
      <c r="S39" s="592"/>
      <c r="T39" s="593"/>
      <c r="U39" s="417"/>
      <c r="V39" s="240">
        <f t="shared" si="37"/>
        <v>0</v>
      </c>
      <c r="W39" s="240">
        <f t="shared" si="30"/>
        <v>0</v>
      </c>
      <c r="X39" s="240">
        <f t="shared" si="31"/>
        <v>0</v>
      </c>
      <c r="Y39" s="243">
        <f t="shared" si="32"/>
        <v>0</v>
      </c>
      <c r="Z39" s="417"/>
      <c r="AA39" s="417"/>
      <c r="AB39" s="417"/>
      <c r="AC39" s="417"/>
      <c r="AD39" s="417"/>
      <c r="AE39" s="240">
        <f t="shared" si="4"/>
        <v>0</v>
      </c>
      <c r="AF39" s="240">
        <f t="shared" si="21"/>
        <v>0</v>
      </c>
      <c r="AG39" s="240">
        <f t="shared" si="5"/>
        <v>0</v>
      </c>
      <c r="AH39" s="243">
        <f t="shared" si="29"/>
        <v>0</v>
      </c>
      <c r="AI39" s="417"/>
      <c r="AJ39" s="417"/>
      <c r="AK39" s="417"/>
      <c r="AL39" s="417"/>
      <c r="AM39" s="472"/>
      <c r="AN39" s="240">
        <f>FLOOR(AM39,1)</f>
        <v>0</v>
      </c>
      <c r="AO39" s="240">
        <f t="shared" si="7"/>
        <v>0</v>
      </c>
      <c r="AP39" s="240">
        <f t="shared" si="8"/>
        <v>0</v>
      </c>
      <c r="AQ39" s="242">
        <f t="shared" si="22"/>
        <v>0</v>
      </c>
      <c r="AR39" s="245"/>
      <c r="AS39" s="245"/>
      <c r="AT39" s="245"/>
      <c r="AU39" s="420"/>
      <c r="AZ39" s="189"/>
      <c r="BA39" s="144">
        <f t="shared" ref="BA39:BA44" si="66">IF(AZ39&lt;0,-1,1)</f>
        <v>1</v>
      </c>
      <c r="BB39" s="146">
        <f t="shared" ref="BB39:BB44" si="67">FLOOR(AZ39,BA39)</f>
        <v>0</v>
      </c>
      <c r="BC39" s="189"/>
      <c r="BD39" s="189"/>
      <c r="BE39" s="189"/>
      <c r="BG39" s="145" t="e">
        <f>IF($K39&gt;=0,+SUM(L$9:$L39)-$B39+Mar!$AZ$41+SUM(AQ$9:$AQ39)," ")</f>
        <v>#VALUE!</v>
      </c>
      <c r="BH39" s="144" t="e">
        <f>IF(BG39&lt;0,-1,1)</f>
        <v>#VALUE!</v>
      </c>
      <c r="BI39" s="146" t="e">
        <f>FLOOR(BG39,BH39)</f>
        <v>#VALUE!</v>
      </c>
      <c r="BJ39" s="146" t="e">
        <f>+BG39-BI39</f>
        <v>#VALUE!</v>
      </c>
      <c r="BK39" s="146" t="e">
        <f>+BJ39/100*60</f>
        <v>#VALUE!</v>
      </c>
      <c r="BL39" s="164"/>
      <c r="BM39" s="157">
        <f>+P39</f>
        <v>0</v>
      </c>
      <c r="BN39">
        <f t="shared" si="36"/>
        <v>2</v>
      </c>
      <c r="BO39" s="15"/>
    </row>
    <row r="40" spans="1:67" ht="15.95" customHeight="1" thickBot="1" x14ac:dyDescent="0.3">
      <c r="B40" s="87">
        <f>MAX($B$8:$B39)</f>
        <v>154.42666666666665</v>
      </c>
      <c r="C40" s="178"/>
      <c r="D40" s="178"/>
      <c r="E40" s="178"/>
      <c r="F40" s="178"/>
      <c r="G40" s="280">
        <f>MAX($G$9:$G39)</f>
        <v>154.256</v>
      </c>
      <c r="H40" s="14" t="s">
        <v>1</v>
      </c>
      <c r="I40" s="98"/>
      <c r="J40" s="612">
        <f>SUM(L40:L40)-SUM(Q41:R41)</f>
        <v>154.43</v>
      </c>
      <c r="K40" s="613"/>
      <c r="L40" s="76">
        <f>SUM(L9:L39)</f>
        <v>154.43</v>
      </c>
      <c r="M40" s="141">
        <f>FLOOR(L40,1)</f>
        <v>154</v>
      </c>
      <c r="N40" s="141">
        <f>+L40-M40</f>
        <v>0.43000000000000682</v>
      </c>
      <c r="O40" s="141">
        <f>+N40/100*60</f>
        <v>0.25800000000000411</v>
      </c>
      <c r="P40" s="278">
        <f>+O40+M40</f>
        <v>154.25800000000001</v>
      </c>
      <c r="Q40" s="629"/>
      <c r="R40" s="630"/>
      <c r="S40" s="631"/>
      <c r="T40" s="632"/>
      <c r="U40" s="433">
        <f>+AC40</f>
        <v>0</v>
      </c>
      <c r="V40" s="433"/>
      <c r="W40" s="433"/>
      <c r="X40" s="433"/>
      <c r="Y40" s="434">
        <f>SUM(Y9:Y39)</f>
        <v>0</v>
      </c>
      <c r="Z40" s="141">
        <f>FLOOR(Y40,1)</f>
        <v>0</v>
      </c>
      <c r="AA40" s="141">
        <f>+Y40-Z40</f>
        <v>0</v>
      </c>
      <c r="AB40" s="141">
        <f>+AA40/100*60</f>
        <v>0</v>
      </c>
      <c r="AC40" s="141">
        <f>+AB40+Z40</f>
        <v>0</v>
      </c>
      <c r="AD40" s="433">
        <f>+AL40</f>
        <v>0</v>
      </c>
      <c r="AE40" s="433"/>
      <c r="AF40" s="433"/>
      <c r="AG40" s="433"/>
      <c r="AH40" s="434">
        <f>SUM(AH9:AH39)</f>
        <v>0</v>
      </c>
      <c r="AI40" s="141">
        <f>FLOOR(AH40,1)</f>
        <v>0</v>
      </c>
      <c r="AJ40" s="141">
        <f>+AH40-AI40</f>
        <v>0</v>
      </c>
      <c r="AK40" s="141">
        <f>+AJ40/100*60</f>
        <v>0</v>
      </c>
      <c r="AL40" s="141">
        <f>+AK40+AI40</f>
        <v>0</v>
      </c>
      <c r="AM40" s="473">
        <f>+AU40</f>
        <v>0</v>
      </c>
      <c r="AN40" s="459"/>
      <c r="AO40" s="434"/>
      <c r="AP40" s="434"/>
      <c r="AQ40" s="434">
        <f>SUM(AQ9:AQ39)</f>
        <v>0</v>
      </c>
      <c r="AR40" s="141">
        <f>FLOOR(AQ40,1)</f>
        <v>0</v>
      </c>
      <c r="AS40" s="141">
        <f>+AQ40-AR40</f>
        <v>0</v>
      </c>
      <c r="AT40" s="141">
        <f>+AS40/100*60</f>
        <v>0</v>
      </c>
      <c r="AU40" s="141">
        <f>+AT40+AR40</f>
        <v>0</v>
      </c>
      <c r="AZ40" s="191"/>
      <c r="BA40" s="144">
        <f t="shared" si="66"/>
        <v>1</v>
      </c>
      <c r="BB40" s="146">
        <f t="shared" si="67"/>
        <v>0</v>
      </c>
      <c r="BC40" s="191"/>
      <c r="BD40" s="191"/>
      <c r="BE40" s="191"/>
      <c r="BG40" s="138"/>
      <c r="BH40" s="143"/>
      <c r="BI40" s="143"/>
      <c r="BJ40" s="143"/>
      <c r="BK40" s="143"/>
      <c r="BL40" s="168"/>
    </row>
    <row r="41" spans="1:67" ht="15.95" customHeight="1" x14ac:dyDescent="0.25">
      <c r="H41" s="623"/>
      <c r="I41" s="623"/>
      <c r="J41" s="624"/>
      <c r="K41" s="624"/>
      <c r="L41" s="624"/>
      <c r="M41" s="123"/>
      <c r="N41" s="123"/>
      <c r="O41" s="123"/>
      <c r="P41" s="123"/>
      <c r="Q41" s="99"/>
      <c r="R41" s="99"/>
      <c r="S41" s="599" t="s">
        <v>10</v>
      </c>
      <c r="T41" s="600"/>
      <c r="U41" s="600"/>
      <c r="V41" s="600"/>
      <c r="W41" s="600"/>
      <c r="X41" s="600"/>
      <c r="Y41" s="600"/>
      <c r="Z41" s="600"/>
      <c r="AA41" s="600"/>
      <c r="AB41" s="600"/>
      <c r="AC41" s="600"/>
      <c r="AD41" s="601"/>
      <c r="AE41" s="601"/>
      <c r="AF41" s="601"/>
      <c r="AG41" s="601"/>
      <c r="AH41" s="601"/>
      <c r="AI41" s="601"/>
      <c r="AJ41" s="601"/>
      <c r="AK41" s="601"/>
      <c r="AL41" s="601"/>
      <c r="AM41" s="601"/>
      <c r="AN41" s="400"/>
      <c r="AO41" s="400"/>
      <c r="AP41" s="400"/>
      <c r="AQ41" s="400"/>
      <c r="AR41" s="400"/>
      <c r="AS41" s="400"/>
      <c r="AT41" s="400"/>
      <c r="AU41" s="400"/>
      <c r="AV41" s="538">
        <f>+Feb!AV42</f>
        <v>-3.9999999999793083E-3</v>
      </c>
      <c r="AW41" s="538"/>
      <c r="AX41" s="633"/>
      <c r="AZ41" s="190">
        <f>+Feb!AZ42</f>
        <v>-6.6666666666321817E-3</v>
      </c>
      <c r="BA41" s="144">
        <f t="shared" si="66"/>
        <v>-1</v>
      </c>
      <c r="BB41" s="146">
        <f t="shared" si="67"/>
        <v>0</v>
      </c>
      <c r="BC41" s="141">
        <f>+AZ41-BB41</f>
        <v>-6.6666666666321817E-3</v>
      </c>
      <c r="BD41" s="141">
        <f>+BC41/100*60</f>
        <v>-3.9999999999793083E-3</v>
      </c>
      <c r="BE41" s="162">
        <f>+BD41+BB41</f>
        <v>-3.9999999999793083E-3</v>
      </c>
    </row>
    <row r="42" spans="1:67" ht="15.95" customHeight="1" x14ac:dyDescent="0.25">
      <c r="H42" s="94"/>
      <c r="I42" s="94"/>
      <c r="J42" s="94"/>
      <c r="K42" s="94"/>
      <c r="L42" s="100"/>
      <c r="M42" s="100"/>
      <c r="N42" s="100"/>
      <c r="O42" s="100"/>
      <c r="P42" s="100"/>
      <c r="Q42" s="100"/>
      <c r="R42" s="100"/>
      <c r="S42" s="602" t="s">
        <v>11</v>
      </c>
      <c r="T42" s="603"/>
      <c r="U42" s="603"/>
      <c r="V42" s="603"/>
      <c r="W42" s="603"/>
      <c r="X42" s="603"/>
      <c r="Y42" s="603"/>
      <c r="Z42" s="603"/>
      <c r="AA42" s="603"/>
      <c r="AB42" s="603"/>
      <c r="AC42" s="603"/>
      <c r="AD42" s="604"/>
      <c r="AE42" s="604"/>
      <c r="AF42" s="604"/>
      <c r="AG42" s="604"/>
      <c r="AH42" s="604"/>
      <c r="AI42" s="604"/>
      <c r="AJ42" s="604"/>
      <c r="AK42" s="604"/>
      <c r="AL42" s="604"/>
      <c r="AM42" s="604"/>
      <c r="AN42" s="401"/>
      <c r="AO42" s="401"/>
      <c r="AP42" s="401"/>
      <c r="AQ42" s="401"/>
      <c r="AR42" s="401"/>
      <c r="AS42" s="401"/>
      <c r="AT42" s="401"/>
      <c r="AU42" s="401"/>
      <c r="AV42" s="606">
        <f>+BE42</f>
        <v>154.25800000000001</v>
      </c>
      <c r="AW42" s="606"/>
      <c r="AX42" s="607"/>
      <c r="AY42" s="1"/>
      <c r="AZ42" s="190">
        <f>+J40+AQ40</f>
        <v>154.43</v>
      </c>
      <c r="BA42" s="144">
        <f t="shared" si="66"/>
        <v>1</v>
      </c>
      <c r="BB42" s="146">
        <f t="shared" si="67"/>
        <v>154</v>
      </c>
      <c r="BC42" s="141">
        <f>+AZ42-BB42</f>
        <v>0.43000000000000682</v>
      </c>
      <c r="BD42" s="141">
        <f>+BC42/100*60</f>
        <v>0.25800000000000411</v>
      </c>
      <c r="BE42" s="162">
        <f>+BD42+BB42</f>
        <v>154.25800000000001</v>
      </c>
    </row>
    <row r="43" spans="1:67" ht="15.95" customHeight="1" x14ac:dyDescent="0.25">
      <c r="H43" s="611"/>
      <c r="I43" s="611"/>
      <c r="J43" s="611"/>
      <c r="K43" s="611"/>
      <c r="L43" s="611"/>
      <c r="M43" s="611"/>
      <c r="N43" s="611"/>
      <c r="O43" s="611"/>
      <c r="P43" s="611"/>
      <c r="Q43" s="611"/>
      <c r="R43" s="611"/>
      <c r="S43" s="602" t="s">
        <v>12</v>
      </c>
      <c r="T43" s="603"/>
      <c r="U43" s="603"/>
      <c r="V43" s="603"/>
      <c r="W43" s="603"/>
      <c r="X43" s="603"/>
      <c r="Y43" s="603"/>
      <c r="Z43" s="603"/>
      <c r="AA43" s="603"/>
      <c r="AB43" s="603"/>
      <c r="AC43" s="603"/>
      <c r="AD43" s="604"/>
      <c r="AE43" s="604"/>
      <c r="AF43" s="604"/>
      <c r="AG43" s="604"/>
      <c r="AH43" s="604"/>
      <c r="AI43" s="604"/>
      <c r="AJ43" s="604"/>
      <c r="AK43" s="604"/>
      <c r="AL43" s="604"/>
      <c r="AM43" s="604"/>
      <c r="AN43" s="401"/>
      <c r="AO43" s="401"/>
      <c r="AP43" s="401"/>
      <c r="AQ43" s="401"/>
      <c r="AR43" s="401"/>
      <c r="AS43" s="401"/>
      <c r="AT43" s="401"/>
      <c r="AU43" s="401"/>
      <c r="AV43" s="543">
        <f>+BE43</f>
        <v>154.256</v>
      </c>
      <c r="AW43" s="543"/>
      <c r="AX43" s="544"/>
      <c r="AZ43" s="157">
        <f>+B40</f>
        <v>154.42666666666665</v>
      </c>
      <c r="BA43" s="144">
        <f t="shared" si="66"/>
        <v>1</v>
      </c>
      <c r="BB43" s="146">
        <f t="shared" si="67"/>
        <v>154</v>
      </c>
      <c r="BC43" s="141">
        <f>+AZ43-BB43</f>
        <v>0.4266666666666481</v>
      </c>
      <c r="BD43" s="141">
        <f>+BC43/100*60</f>
        <v>0.2559999999999889</v>
      </c>
      <c r="BE43" s="162">
        <f>+BD43+BB43</f>
        <v>154.256</v>
      </c>
    </row>
    <row r="44" spans="1:67" ht="15.95" customHeight="1" thickBot="1" x14ac:dyDescent="0.3">
      <c r="H44" s="96"/>
      <c r="I44" s="96"/>
      <c r="J44" s="96"/>
      <c r="K44" s="96"/>
      <c r="L44" s="97"/>
      <c r="M44" s="97"/>
      <c r="N44" s="97"/>
      <c r="O44" s="97"/>
      <c r="P44" s="97"/>
      <c r="Q44" s="96"/>
      <c r="R44" s="96"/>
      <c r="S44" s="596" t="s">
        <v>13</v>
      </c>
      <c r="T44" s="597"/>
      <c r="U44" s="597"/>
      <c r="V44" s="597"/>
      <c r="W44" s="597"/>
      <c r="X44" s="597"/>
      <c r="Y44" s="597"/>
      <c r="Z44" s="597"/>
      <c r="AA44" s="597"/>
      <c r="AB44" s="597"/>
      <c r="AC44" s="597"/>
      <c r="AD44" s="598"/>
      <c r="AE44" s="598"/>
      <c r="AF44" s="598"/>
      <c r="AG44" s="598"/>
      <c r="AH44" s="598"/>
      <c r="AI44" s="598"/>
      <c r="AJ44" s="598"/>
      <c r="AK44" s="598"/>
      <c r="AL44" s="598"/>
      <c r="AM44" s="598"/>
      <c r="AN44" s="402"/>
      <c r="AO44" s="402"/>
      <c r="AP44" s="402"/>
      <c r="AQ44" s="402"/>
      <c r="AR44" s="402"/>
      <c r="AS44" s="402"/>
      <c r="AT44" s="402"/>
      <c r="AU44" s="402"/>
      <c r="AV44" s="545">
        <f>+AV41+AV42-AV43</f>
        <v>-1.999999999981128E-3</v>
      </c>
      <c r="AW44" s="545"/>
      <c r="AX44" s="609"/>
      <c r="AZ44" s="157">
        <f>+AZ41+AZ42-AZ43</f>
        <v>-3.3333333332734583E-3</v>
      </c>
      <c r="BA44" s="144">
        <f t="shared" si="66"/>
        <v>-1</v>
      </c>
      <c r="BB44" s="146">
        <f t="shared" si="67"/>
        <v>0</v>
      </c>
      <c r="BC44" s="141">
        <f>+AZ44-BB44</f>
        <v>-3.3333333332734583E-3</v>
      </c>
      <c r="BD44" s="141">
        <f>+BC44/100*60</f>
        <v>-1.9999999999640752E-3</v>
      </c>
      <c r="BE44" s="162">
        <f>+BD44+BB44</f>
        <v>-1.9999999999640752E-3</v>
      </c>
    </row>
    <row r="45" spans="1:67" ht="15.95" hidden="1" customHeight="1" x14ac:dyDescent="0.25">
      <c r="H45" s="96"/>
      <c r="I45" s="96"/>
      <c r="J45" s="96"/>
      <c r="K45" s="96"/>
      <c r="L45" s="96"/>
      <c r="M45" s="96"/>
      <c r="N45" s="96"/>
      <c r="O45" s="96"/>
      <c r="P45" s="255"/>
      <c r="Q45" s="96"/>
      <c r="R45" s="96"/>
      <c r="S45" s="171"/>
      <c r="T45" s="170"/>
      <c r="U45" s="267"/>
      <c r="V45" s="267"/>
      <c r="W45" s="267"/>
      <c r="X45" s="267"/>
      <c r="Y45" s="267"/>
      <c r="Z45" s="267"/>
      <c r="AA45" s="267"/>
      <c r="AB45" s="267"/>
      <c r="AC45" s="267"/>
      <c r="AD45" s="267"/>
      <c r="AE45" s="267"/>
      <c r="AF45" s="267"/>
      <c r="AG45" s="267"/>
      <c r="AH45" s="267"/>
      <c r="AI45" s="267"/>
      <c r="AJ45" s="267"/>
      <c r="AK45" s="267"/>
      <c r="AL45" s="267"/>
      <c r="AM45" s="267"/>
      <c r="AN45" s="170"/>
      <c r="AO45" s="170"/>
      <c r="AP45" s="170"/>
      <c r="AQ45" s="170"/>
      <c r="AR45" s="170"/>
      <c r="AS45" s="170"/>
      <c r="AT45" s="170"/>
      <c r="AU45" s="170"/>
      <c r="AV45" s="170"/>
      <c r="AW45" s="170"/>
      <c r="AX45" s="172"/>
    </row>
    <row r="46" spans="1:67" ht="15.75" hidden="1" thickBot="1" x14ac:dyDescent="0.3">
      <c r="S46" s="589" t="s">
        <v>76</v>
      </c>
      <c r="T46" s="590"/>
      <c r="U46" s="590"/>
      <c r="V46" s="590"/>
      <c r="W46" s="590"/>
      <c r="X46" s="590"/>
      <c r="Y46" s="590"/>
      <c r="Z46" s="590"/>
      <c r="AA46" s="590"/>
      <c r="AB46" s="590"/>
      <c r="AC46" s="590"/>
      <c r="AD46" s="590"/>
      <c r="AE46" s="590"/>
      <c r="AF46" s="590"/>
      <c r="AG46" s="590"/>
      <c r="AH46" s="590"/>
      <c r="AI46" s="590"/>
      <c r="AJ46" s="590"/>
      <c r="AK46" s="590"/>
      <c r="AL46" s="590"/>
      <c r="AM46" s="590"/>
      <c r="AN46" s="175"/>
      <c r="AO46" s="175"/>
      <c r="AP46" s="175"/>
      <c r="AQ46" s="175"/>
      <c r="AR46" s="175"/>
      <c r="AS46" s="175"/>
      <c r="AT46" s="175"/>
      <c r="AU46" s="175"/>
      <c r="AV46" s="594">
        <f>+BE46</f>
        <v>0</v>
      </c>
      <c r="AW46" s="594"/>
      <c r="AX46" s="595"/>
      <c r="AZ46" s="157">
        <f>+Y40+AH40+Feb!AZ44</f>
        <v>0</v>
      </c>
      <c r="BA46" s="157"/>
      <c r="BB46" s="141">
        <f>FLOOR(AZ46,1)</f>
        <v>0</v>
      </c>
      <c r="BC46" s="141">
        <f>+AZ46-BB46</f>
        <v>0</v>
      </c>
      <c r="BD46" s="141">
        <f>+BC46/100*60</f>
        <v>0</v>
      </c>
      <c r="BE46" s="162">
        <f>+BD46+BB46</f>
        <v>0</v>
      </c>
    </row>
  </sheetData>
  <sheetProtection sheet="1" objects="1" scenarios="1"/>
  <mergeCells count="59">
    <mergeCell ref="Q7:T7"/>
    <mergeCell ref="Q38:T38"/>
    <mergeCell ref="Q34:T34"/>
    <mergeCell ref="Q35:T35"/>
    <mergeCell ref="Q32:T32"/>
    <mergeCell ref="Q36:T36"/>
    <mergeCell ref="Q37:T37"/>
    <mergeCell ref="Q33:T33"/>
    <mergeCell ref="H5:K5"/>
    <mergeCell ref="H41:L41"/>
    <mergeCell ref="J40:K40"/>
    <mergeCell ref="L5:S5"/>
    <mergeCell ref="Q9:T9"/>
    <mergeCell ref="Q24:T24"/>
    <mergeCell ref="Q25:T25"/>
    <mergeCell ref="Q18:T18"/>
    <mergeCell ref="Q19:T19"/>
    <mergeCell ref="Q22:T22"/>
    <mergeCell ref="Q23:T23"/>
    <mergeCell ref="Q20:T20"/>
    <mergeCell ref="Q21:T21"/>
    <mergeCell ref="Q30:T30"/>
    <mergeCell ref="Q31:T31"/>
    <mergeCell ref="Q28:T28"/>
    <mergeCell ref="Q12:T12"/>
    <mergeCell ref="Q13:T13"/>
    <mergeCell ref="Q16:T16"/>
    <mergeCell ref="Q17:T17"/>
    <mergeCell ref="H43:R43"/>
    <mergeCell ref="Q29:T29"/>
    <mergeCell ref="Q26:T26"/>
    <mergeCell ref="Q27:T27"/>
    <mergeCell ref="Q40:T40"/>
    <mergeCell ref="Q39:T39"/>
    <mergeCell ref="H1:AZ1"/>
    <mergeCell ref="S46:AM46"/>
    <mergeCell ref="AV46:AX46"/>
    <mergeCell ref="S44:AM44"/>
    <mergeCell ref="S41:AM41"/>
    <mergeCell ref="S42:AM42"/>
    <mergeCell ref="S43:AM43"/>
    <mergeCell ref="AV44:AX44"/>
    <mergeCell ref="Q14:T14"/>
    <mergeCell ref="Q15:T15"/>
    <mergeCell ref="Q10:T10"/>
    <mergeCell ref="Q11:T11"/>
    <mergeCell ref="L4:S4"/>
    <mergeCell ref="H3:K3"/>
    <mergeCell ref="L3:S3"/>
    <mergeCell ref="H4:K4"/>
    <mergeCell ref="U3:AV3"/>
    <mergeCell ref="AV42:AX42"/>
    <mergeCell ref="AV43:AX43"/>
    <mergeCell ref="AX3:AY3"/>
    <mergeCell ref="AX4:AY4"/>
    <mergeCell ref="AV41:AX41"/>
    <mergeCell ref="AX5:AY5"/>
    <mergeCell ref="U5:AV5"/>
    <mergeCell ref="U6:AD6"/>
  </mergeCells>
  <phoneticPr fontId="0" type="noConversion"/>
  <conditionalFormatting sqref="H9:H39">
    <cfRule type="expression" dxfId="231" priority="16" stopIfTrue="1">
      <formula>IF(WEEKDAY($I9,2)&gt;5,1,0)</formula>
    </cfRule>
    <cfRule type="expression" dxfId="230" priority="17" stopIfTrue="1">
      <formula>IF($I9=TODAY(),1,0)</formula>
    </cfRule>
  </conditionalFormatting>
  <conditionalFormatting sqref="Q9:T39 BA9:BB38 BC9:BE39 AZ9:AZ39 J13:K18 J20:K20 J28:K32 J34:K35 J9:K11 J38:K39 J22:K25">
    <cfRule type="expression" dxfId="229" priority="18" stopIfTrue="1">
      <formula>IF(WEEKDAY($B9,2)&lt;6,1,0)</formula>
    </cfRule>
  </conditionalFormatting>
  <conditionalFormatting sqref="BC41:BE44 V9:X39 Z40:AC40 AE9:AG39 AI40:AL40 BB39:BB44 AU13 AN9:AP39 AR40:AU40 BB46:BE46 BI9:BK39 M39:P40 L39 L9:P11 L13:P18 L20:P25 L27:P32 L34:P35 L38:P38">
    <cfRule type="cellIs" dxfId="228" priority="19" stopIfTrue="1" operator="lessThan">
      <formula>0</formula>
    </cfRule>
  </conditionalFormatting>
  <conditionalFormatting sqref="G9:G39 B9:B39">
    <cfRule type="expression" dxfId="227" priority="20" stopIfTrue="1">
      <formula>IF(B9=MAX($B$8:B8),1,0)</formula>
    </cfRule>
  </conditionalFormatting>
  <conditionalFormatting sqref="J12:K12">
    <cfRule type="expression" dxfId="226" priority="14" stopIfTrue="1">
      <formula>IF(WEEKDAY($B12,2)&lt;6,1,0)</formula>
    </cfRule>
  </conditionalFormatting>
  <conditionalFormatting sqref="L12:P12">
    <cfRule type="cellIs" dxfId="225" priority="15" stopIfTrue="1" operator="lessThan">
      <formula>0</formula>
    </cfRule>
  </conditionalFormatting>
  <conditionalFormatting sqref="J19:K19">
    <cfRule type="expression" dxfId="224" priority="12" stopIfTrue="1">
      <formula>IF(WEEKDAY($B19,2)&lt;6,1,0)</formula>
    </cfRule>
  </conditionalFormatting>
  <conditionalFormatting sqref="L19:P19">
    <cfRule type="cellIs" dxfId="223" priority="13" stopIfTrue="1" operator="lessThan">
      <formula>0</formula>
    </cfRule>
  </conditionalFormatting>
  <conditionalFormatting sqref="J26:K26">
    <cfRule type="expression" dxfId="222" priority="10" stopIfTrue="1">
      <formula>IF(WEEKDAY($B26,2)&lt;6,1,0)</formula>
    </cfRule>
  </conditionalFormatting>
  <conditionalFormatting sqref="L26:P26">
    <cfRule type="cellIs" dxfId="221" priority="11" stopIfTrue="1" operator="lessThan">
      <formula>0</formula>
    </cfRule>
  </conditionalFormatting>
  <conditionalFormatting sqref="J33:K33">
    <cfRule type="expression" dxfId="220" priority="8" stopIfTrue="1">
      <formula>IF(WEEKDAY($B33,2)&lt;6,1,0)</formula>
    </cfRule>
  </conditionalFormatting>
  <conditionalFormatting sqref="L33:P33">
    <cfRule type="cellIs" dxfId="219" priority="9" stopIfTrue="1" operator="lessThan">
      <formula>0</formula>
    </cfRule>
  </conditionalFormatting>
  <conditionalFormatting sqref="J8:K8">
    <cfRule type="expression" dxfId="218" priority="7" stopIfTrue="1">
      <formula>IF(WEEKDAY($B8,2)&lt;6,1,0)</formula>
    </cfRule>
  </conditionalFormatting>
  <conditionalFormatting sqref="J36:K37">
    <cfRule type="expression" dxfId="217" priority="5" stopIfTrue="1">
      <formula>IF(WEEKDAY($B36,2)&lt;6,1,0)</formula>
    </cfRule>
  </conditionalFormatting>
  <conditionalFormatting sqref="L36:P37">
    <cfRule type="cellIs" dxfId="216" priority="6" stopIfTrue="1" operator="lessThan">
      <formula>0</formula>
    </cfRule>
  </conditionalFormatting>
  <conditionalFormatting sqref="J21">
    <cfRule type="expression" dxfId="215" priority="4" stopIfTrue="1">
      <formula>IF(WEEKDAY($B21,2)&lt;6,1,0)</formula>
    </cfRule>
  </conditionalFormatting>
  <conditionalFormatting sqref="K21">
    <cfRule type="expression" dxfId="214" priority="3" stopIfTrue="1">
      <formula>IF(WEEKDAY($B21,2)&lt;6,1,0)</formula>
    </cfRule>
  </conditionalFormatting>
  <conditionalFormatting sqref="J27">
    <cfRule type="expression" dxfId="213" priority="2" stopIfTrue="1">
      <formula>IF(WEEKDAY($B27,2)&lt;6,1,0)</formula>
    </cfRule>
  </conditionalFormatting>
  <conditionalFormatting sqref="K27">
    <cfRule type="expression" dxfId="212" priority="1" stopIfTrue="1">
      <formula>IF(WEEKDAY($B27,2)&lt;6,1,0)</formula>
    </cfRule>
  </conditionalFormatting>
  <printOptions horizontalCentered="1" verticalCentered="1"/>
  <pageMargins left="0.59055118110236227" right="0.19685039370078741" top="0.19685039370078741" bottom="0.59055118110236227" header="0.51181102362204722" footer="0.51181102362204722"/>
  <pageSetup paperSize="9" scale="110" orientation="portrait" horizont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dimension ref="A1:BO46"/>
  <sheetViews>
    <sheetView zoomScale="75" workbookViewId="0">
      <pane xSplit="9" ySplit="8" topLeftCell="J9" activePane="bottomRight" state="frozen"/>
      <selection activeCell="Q7" sqref="Q7:T7"/>
      <selection pane="topRight" activeCell="Q7" sqref="Q7:T7"/>
      <selection pane="bottomLeft" activeCell="Q7" sqref="Q7:T7"/>
      <selection pane="bottomRight" activeCell="J30" sqref="J30"/>
    </sheetView>
  </sheetViews>
  <sheetFormatPr defaultRowHeight="15" x14ac:dyDescent="0.25"/>
  <cols>
    <col min="1" max="1" width="13.140625" bestFit="1" customWidth="1"/>
    <col min="2" max="2" width="9.42578125" hidden="1" customWidth="1"/>
    <col min="3" max="3" width="5.28515625" hidden="1" customWidth="1"/>
    <col min="4" max="6" width="9.85546875" hidden="1" customWidth="1"/>
    <col min="7" max="7" width="10" style="258" bestFit="1" customWidth="1"/>
    <col min="8" max="8" width="5.42578125" bestFit="1" customWidth="1"/>
    <col min="9" max="9" width="12" hidden="1" customWidth="1"/>
    <col min="10" max="10" width="7.7109375" bestFit="1" customWidth="1"/>
    <col min="11" max="11" width="7" bestFit="1" customWidth="1"/>
    <col min="12" max="12" width="7.140625" hidden="1" customWidth="1"/>
    <col min="13" max="15" width="9.85546875" hidden="1" customWidth="1"/>
    <col min="16" max="16" width="8.7109375" customWidth="1"/>
    <col min="17" max="17" width="6.5703125" customWidth="1"/>
    <col min="18" max="18" width="6.28515625" customWidth="1"/>
    <col min="19" max="19" width="9.28515625" customWidth="1"/>
    <col min="20" max="20" width="0.28515625" hidden="1" customWidth="1"/>
    <col min="21" max="21" width="17.85546875" bestFit="1" customWidth="1"/>
    <col min="22" max="29" width="5.28515625" hidden="1" customWidth="1"/>
    <col min="30" max="30" width="14.5703125" customWidth="1"/>
    <col min="31" max="38" width="5.28515625" hidden="1" customWidth="1"/>
    <col min="39" max="39" width="23.42578125" customWidth="1"/>
    <col min="40" max="47" width="5.28515625" hidden="1" customWidth="1"/>
    <col min="48" max="48" width="6.28515625" hidden="1" customWidth="1"/>
    <col min="49" max="49" width="4" customWidth="1"/>
    <col min="50" max="50" width="6.28515625" customWidth="1"/>
    <col min="51" max="51" width="6.42578125" customWidth="1"/>
    <col min="52" max="52" width="8.5703125" hidden="1" customWidth="1"/>
    <col min="53" max="53" width="6" hidden="1" customWidth="1"/>
    <col min="54" max="54" width="7.5703125" hidden="1" customWidth="1"/>
    <col min="55" max="56" width="6" hidden="1" customWidth="1"/>
    <col min="57" max="57" width="7.5703125" hidden="1" customWidth="1"/>
    <col min="58" max="58" width="0" hidden="1" customWidth="1"/>
    <col min="59" max="60" width="10" style="134" hidden="1" customWidth="1"/>
    <col min="61" max="63" width="9.85546875" style="134" hidden="1" customWidth="1"/>
    <col min="64" max="64" width="12.140625" style="134" bestFit="1" customWidth="1"/>
    <col min="65" max="65" width="4.5703125" hidden="1" customWidth="1"/>
    <col min="66" max="66" width="2.28515625" hidden="1" customWidth="1"/>
    <col min="67" max="68" width="0" hidden="1" customWidth="1"/>
  </cols>
  <sheetData>
    <row r="1" spans="1:66" ht="18" x14ac:dyDescent="0.25">
      <c r="H1" s="547" t="s">
        <v>114</v>
      </c>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174"/>
      <c r="BB1" s="174"/>
      <c r="BC1" s="174"/>
      <c r="BD1" s="174"/>
      <c r="BE1" s="174"/>
    </row>
    <row r="2" spans="1:66" ht="8.1" customHeight="1" x14ac:dyDescent="0.25">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66" ht="15.95" customHeight="1" x14ac:dyDescent="0.25">
      <c r="H3" s="620" t="s">
        <v>5</v>
      </c>
      <c r="I3" s="621"/>
      <c r="J3" s="621"/>
      <c r="K3" s="622"/>
      <c r="L3" s="555" t="str">
        <f>+Resume!H1</f>
        <v>Lars Larsen</v>
      </c>
      <c r="M3" s="556"/>
      <c r="N3" s="556"/>
      <c r="O3" s="556"/>
      <c r="P3" s="556"/>
      <c r="Q3" s="557"/>
      <c r="R3" s="557"/>
      <c r="S3" s="557"/>
      <c r="T3" s="49"/>
      <c r="U3" s="626" t="s">
        <v>7</v>
      </c>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155"/>
      <c r="AX3" s="558">
        <f>DATE(Nøgletal!B1,4,1)</f>
        <v>41365</v>
      </c>
      <c r="AY3" s="560"/>
      <c r="AZ3" s="183"/>
      <c r="BA3" s="183"/>
      <c r="BB3" s="183"/>
      <c r="BC3" s="183"/>
      <c r="BD3" s="183"/>
      <c r="BE3" s="183"/>
    </row>
    <row r="4" spans="1:66" ht="15.95" customHeight="1" x14ac:dyDescent="0.25">
      <c r="H4" s="625" t="s">
        <v>6</v>
      </c>
      <c r="I4" s="625"/>
      <c r="J4" s="625"/>
      <c r="K4" s="625"/>
      <c r="L4" s="550" t="str">
        <f>+Resume!H2</f>
        <v>010101-0101</v>
      </c>
      <c r="M4" s="551"/>
      <c r="N4" s="551"/>
      <c r="O4" s="551"/>
      <c r="P4" s="551"/>
      <c r="Q4" s="551"/>
      <c r="R4" s="551"/>
      <c r="S4" s="551"/>
      <c r="T4" s="50"/>
      <c r="U4" s="17" t="s">
        <v>8</v>
      </c>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8"/>
      <c r="AW4" s="159"/>
      <c r="AX4" s="561" t="str">
        <f>IF(Resume!I4&lt;&gt;"",Resume!I4,"")</f>
        <v>1 - bagud</v>
      </c>
      <c r="AY4" s="563"/>
      <c r="AZ4" s="184"/>
      <c r="BA4" s="184"/>
      <c r="BB4" s="184"/>
      <c r="BC4" s="184"/>
      <c r="BD4" s="184"/>
      <c r="BE4" s="184"/>
    </row>
    <row r="5" spans="1:66" ht="15.95" customHeight="1" x14ac:dyDescent="0.25">
      <c r="H5" s="620" t="s">
        <v>9</v>
      </c>
      <c r="I5" s="621"/>
      <c r="J5" s="621"/>
      <c r="K5" s="622"/>
      <c r="L5" s="555" t="str">
        <f>+Resume!H3</f>
        <v>SKAT</v>
      </c>
      <c r="M5" s="556"/>
      <c r="N5" s="556"/>
      <c r="O5" s="556"/>
      <c r="P5" s="556"/>
      <c r="Q5" s="557"/>
      <c r="R5" s="557"/>
      <c r="S5" s="557"/>
      <c r="T5" s="49"/>
      <c r="U5" s="617"/>
      <c r="V5" s="618"/>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9"/>
      <c r="AW5" s="156"/>
      <c r="AX5" s="614"/>
      <c r="AY5" s="616"/>
      <c r="AZ5" s="185"/>
      <c r="BA5" s="185"/>
      <c r="BB5" s="185"/>
      <c r="BC5" s="185"/>
      <c r="BD5" s="185"/>
      <c r="BE5" s="185"/>
    </row>
    <row r="6" spans="1:66" ht="48" customHeight="1" thickBot="1" x14ac:dyDescent="0.3">
      <c r="H6" s="3"/>
      <c r="I6" s="3"/>
      <c r="J6" s="3"/>
      <c r="K6" s="3"/>
      <c r="L6" s="3"/>
      <c r="M6" s="3"/>
      <c r="N6" s="3"/>
      <c r="O6" s="3"/>
      <c r="P6" s="3"/>
      <c r="Q6" s="426"/>
      <c r="R6" s="426"/>
      <c r="S6" s="426"/>
      <c r="T6" s="426"/>
      <c r="U6" s="628" t="s">
        <v>75</v>
      </c>
      <c r="V6" s="628"/>
      <c r="W6" s="628"/>
      <c r="X6" s="628"/>
      <c r="Y6" s="628"/>
      <c r="Z6" s="628"/>
      <c r="AA6" s="628"/>
      <c r="AB6" s="628"/>
      <c r="AC6" s="628"/>
      <c r="AD6" s="628"/>
      <c r="AE6" s="427"/>
      <c r="AF6" s="427"/>
      <c r="AG6" s="427"/>
      <c r="AH6" s="427"/>
      <c r="AI6" s="427"/>
      <c r="AJ6" s="427"/>
      <c r="AK6" s="427"/>
      <c r="AL6" s="427"/>
      <c r="AM6" s="428" t="s">
        <v>77</v>
      </c>
      <c r="AN6" s="429"/>
      <c r="AO6" s="429"/>
      <c r="AP6" s="429"/>
      <c r="AQ6" s="429"/>
      <c r="AR6" s="429"/>
      <c r="AS6" s="429"/>
      <c r="AT6" s="429"/>
      <c r="AU6" s="429"/>
      <c r="AV6" s="426"/>
      <c r="AW6" s="426"/>
      <c r="AX6" s="426"/>
      <c r="AY6" s="426"/>
      <c r="AZ6" s="101"/>
      <c r="BA6" s="101"/>
      <c r="BB6" s="101"/>
      <c r="BC6" s="101"/>
      <c r="BD6" s="101"/>
      <c r="BE6" s="101"/>
    </row>
    <row r="7" spans="1:66" s="118" customFormat="1" ht="46.5" customHeight="1" thickBot="1" x14ac:dyDescent="0.3">
      <c r="A7" s="112" t="s">
        <v>58</v>
      </c>
      <c r="B7" s="119" t="s">
        <v>18</v>
      </c>
      <c r="C7" s="176"/>
      <c r="D7" s="176"/>
      <c r="E7" s="176"/>
      <c r="F7" s="176"/>
      <c r="G7" s="262" t="s">
        <v>18</v>
      </c>
      <c r="H7" s="114" t="s">
        <v>2</v>
      </c>
      <c r="I7" s="115"/>
      <c r="J7" s="116" t="s">
        <v>3</v>
      </c>
      <c r="K7" s="116" t="s">
        <v>4</v>
      </c>
      <c r="L7" s="117" t="s">
        <v>0</v>
      </c>
      <c r="M7" s="139"/>
      <c r="N7" s="139"/>
      <c r="O7" s="139"/>
      <c r="P7" s="216" t="s">
        <v>69</v>
      </c>
      <c r="Q7" s="586" t="s">
        <v>115</v>
      </c>
      <c r="R7" s="587"/>
      <c r="S7" s="587"/>
      <c r="T7" s="588"/>
      <c r="U7" s="452" t="s">
        <v>116</v>
      </c>
      <c r="V7" s="423"/>
      <c r="W7" s="423"/>
      <c r="X7" s="423"/>
      <c r="Y7" s="423"/>
      <c r="Z7" s="423"/>
      <c r="AA7" s="423"/>
      <c r="AB7" s="423"/>
      <c r="AC7" s="423"/>
      <c r="AD7" s="423" t="s">
        <v>68</v>
      </c>
      <c r="AE7" s="423"/>
      <c r="AF7" s="423"/>
      <c r="AG7" s="423"/>
      <c r="AH7" s="423"/>
      <c r="AI7" s="423"/>
      <c r="AJ7" s="423"/>
      <c r="AK7" s="423"/>
      <c r="AL7" s="423"/>
      <c r="AM7" s="424" t="s">
        <v>91</v>
      </c>
      <c r="AN7" s="425"/>
      <c r="AO7" s="425"/>
      <c r="AP7" s="425"/>
      <c r="AQ7" s="425"/>
      <c r="AR7" s="425"/>
      <c r="AS7" s="425"/>
      <c r="AT7" s="425"/>
      <c r="AU7" s="425"/>
      <c r="AZ7" s="186"/>
      <c r="BA7" s="186"/>
      <c r="BB7" s="186"/>
      <c r="BC7" s="186"/>
      <c r="BD7" s="186"/>
      <c r="BE7" s="186"/>
      <c r="BG7" s="135" t="s">
        <v>61</v>
      </c>
      <c r="BH7" s="142"/>
      <c r="BI7" s="142"/>
      <c r="BJ7" s="142"/>
      <c r="BK7" s="142"/>
      <c r="BL7" s="163" t="s">
        <v>70</v>
      </c>
    </row>
    <row r="8" spans="1:66" ht="0.95" customHeight="1" x14ac:dyDescent="0.25">
      <c r="A8" s="90"/>
      <c r="B8" s="92"/>
      <c r="C8" s="32"/>
      <c r="D8" s="32"/>
      <c r="E8" s="32"/>
      <c r="F8" s="32"/>
      <c r="G8" s="264"/>
      <c r="H8" s="75"/>
      <c r="I8" s="70"/>
      <c r="J8" s="71"/>
      <c r="K8" s="71"/>
      <c r="L8" s="72"/>
      <c r="M8" s="140"/>
      <c r="N8" s="140"/>
      <c r="O8" s="140"/>
      <c r="P8" s="140"/>
      <c r="Q8" s="73"/>
      <c r="R8" s="73"/>
      <c r="S8" s="74"/>
      <c r="T8" s="74"/>
      <c r="U8" s="74"/>
      <c r="V8" s="74"/>
      <c r="W8" s="74"/>
      <c r="X8" s="74"/>
      <c r="Y8" s="74"/>
      <c r="Z8" s="74"/>
      <c r="AA8" s="74"/>
      <c r="AB8" s="74"/>
      <c r="AC8" s="74"/>
      <c r="AD8" s="74"/>
      <c r="AE8" s="74"/>
      <c r="AF8" s="74"/>
      <c r="AG8" s="74"/>
      <c r="AH8" s="74"/>
      <c r="AI8" s="74"/>
      <c r="AJ8" s="74"/>
      <c r="AK8" s="74"/>
      <c r="AL8" s="74"/>
      <c r="AM8" s="474"/>
      <c r="AN8" s="161"/>
      <c r="AO8" s="161"/>
      <c r="AP8" s="161"/>
      <c r="AQ8" s="161"/>
      <c r="AR8" s="161"/>
      <c r="AS8" s="161"/>
      <c r="AT8" s="161"/>
      <c r="AU8" s="161"/>
      <c r="AZ8" s="187"/>
      <c r="BA8" s="187"/>
      <c r="BB8" s="187"/>
      <c r="BC8" s="187"/>
      <c r="BD8" s="187"/>
      <c r="BE8" s="187"/>
      <c r="BG8" s="136"/>
      <c r="BH8" s="143"/>
      <c r="BI8" s="143"/>
      <c r="BJ8" s="143"/>
      <c r="BK8" s="143"/>
      <c r="BL8" s="166"/>
    </row>
    <row r="9" spans="1:66" ht="15.95" customHeight="1" x14ac:dyDescent="0.25">
      <c r="A9" s="125" t="s">
        <v>103</v>
      </c>
      <c r="B9" s="79">
        <f>IF($I9&lt;&gt;"",IF(WEEKDAY($I9,2)&lt;6,IF(VLOOKUP(WEEKDAY($I9,2),InputUge,3)&gt;0,IF($A9="",VLOOKUP(WEEKDAY($I9,2),InputUge,3)+MAX(B$8:B8),IF($A9&lt;VLOOKUP(WEEKDAY($I9,2),InputUge,3),$A9+MAX(B$8:B8),VLOOKUP(WEEKDAY($I9,2),InputUge,3)+MAX(B$8:B8))),""),""),"")</f>
        <v>7.0633333333333335</v>
      </c>
      <c r="C9" s="144">
        <f>IF(B9&lt;0,-1,1)</f>
        <v>1</v>
      </c>
      <c r="D9" s="146">
        <f>FLOOR(B9,C9)</f>
        <v>7</v>
      </c>
      <c r="E9" s="146">
        <f>+B9-D9</f>
        <v>6.3333333333333464E-2</v>
      </c>
      <c r="F9" s="146">
        <f>+E9/100*60</f>
        <v>3.8000000000000075E-2</v>
      </c>
      <c r="G9" s="261">
        <f>+F9+D9</f>
        <v>7.0380000000000003</v>
      </c>
      <c r="H9" s="464">
        <v>1</v>
      </c>
      <c r="I9" s="16">
        <f>MAX(Mar!I9:I39)+1</f>
        <v>41365</v>
      </c>
      <c r="J9" s="6">
        <v>0.34826388888888887</v>
      </c>
      <c r="K9" s="6">
        <v>0.64236111111111105</v>
      </c>
      <c r="L9" s="5">
        <f>IF(K9&gt;0,ROUND(((K9-J9)*24)-SUM(BR9:BS9)+BT9,2)+IF(Fredagsfrokost="n",IF(WEEKDAY($I9,2)=5,IF(K9&gt;=0.5,IF(K9&lt;=13/24,0,0),0),0),0),IF(AW9&gt;0,AW9,""))</f>
        <v>7.06</v>
      </c>
      <c r="M9" s="141">
        <f t="shared" ref="M9:M14" si="0">FLOOR(L9,1)</f>
        <v>7</v>
      </c>
      <c r="N9" s="141">
        <f t="shared" ref="N9:N14" si="1">+L9-M9</f>
        <v>5.9999999999999609E-2</v>
      </c>
      <c r="O9" s="141">
        <f t="shared" ref="O9:O14" si="2">+N9/100*60</f>
        <v>3.5999999999999761E-2</v>
      </c>
      <c r="P9" s="162">
        <f t="shared" ref="P9:P14" si="3">IF(J9="","",O9+M9)</f>
        <v>7.0359999999999996</v>
      </c>
      <c r="Q9" s="591"/>
      <c r="R9" s="592"/>
      <c r="S9" s="592"/>
      <c r="T9" s="593"/>
      <c r="U9" s="417"/>
      <c r="V9" s="240">
        <f t="shared" ref="V9:V38" si="4">FLOOR(U9,1)</f>
        <v>0</v>
      </c>
      <c r="W9" s="240">
        <f>+U9-V9</f>
        <v>0</v>
      </c>
      <c r="X9" s="240">
        <f t="shared" ref="X9:X38" si="5">+W9/60*100</f>
        <v>0</v>
      </c>
      <c r="Y9" s="242">
        <f>+X9+V9</f>
        <v>0</v>
      </c>
      <c r="Z9" s="418"/>
      <c r="AA9" s="418"/>
      <c r="AB9" s="418"/>
      <c r="AC9" s="418"/>
      <c r="AD9" s="417"/>
      <c r="AE9" s="240">
        <f t="shared" ref="AE9:AE38" si="6">FLOOR(AD9,1)</f>
        <v>0</v>
      </c>
      <c r="AF9" s="240">
        <f t="shared" ref="AF9:AF38" si="7">+AD9-AE9</f>
        <v>0</v>
      </c>
      <c r="AG9" s="240">
        <f t="shared" ref="AG9:AG38" si="8">+AF9/60*100</f>
        <v>0</v>
      </c>
      <c r="AH9" s="242">
        <f>+AG9+AE9</f>
        <v>0</v>
      </c>
      <c r="AI9" s="245"/>
      <c r="AJ9" s="245"/>
      <c r="AK9" s="245"/>
      <c r="AL9" s="419"/>
      <c r="AM9" s="472"/>
      <c r="AN9" s="240">
        <f t="shared" ref="AN9:AN38" si="9">FLOOR(AM9,1)</f>
        <v>0</v>
      </c>
      <c r="AO9" s="240">
        <f t="shared" ref="AO9:AO38" si="10">+AM9-AN9</f>
        <v>0</v>
      </c>
      <c r="AP9" s="240">
        <f t="shared" ref="AP9:AP38" si="11">+AO9/60*100</f>
        <v>0</v>
      </c>
      <c r="AQ9" s="242">
        <f>+AP9+AN9</f>
        <v>0</v>
      </c>
      <c r="AR9" s="245"/>
      <c r="AS9" s="245"/>
      <c r="AT9" s="245"/>
      <c r="AU9" s="419"/>
      <c r="AZ9" s="189"/>
      <c r="BA9" s="189"/>
      <c r="BB9" s="189"/>
      <c r="BC9" s="189"/>
      <c r="BD9" s="189"/>
      <c r="BE9" s="189"/>
      <c r="BG9" s="145">
        <f>IF($K9&gt;=0,+SUM(L$9:$L9)-$B9+Apr!$AZ$40+SUM(AQ$9:$AQ9)," ")</f>
        <v>-6.6666666666073127E-3</v>
      </c>
      <c r="BH9" s="144">
        <f t="shared" ref="BH9:BH16" si="12">IF(BG9&lt;0,-1,1)</f>
        <v>-1</v>
      </c>
      <c r="BI9" s="146">
        <f t="shared" ref="BI9:BI17" si="13">FLOOR(BG9,BH9)</f>
        <v>0</v>
      </c>
      <c r="BJ9" s="146">
        <f t="shared" ref="BJ9:BJ17" si="14">+BG9-BI9</f>
        <v>-6.6666666666073127E-3</v>
      </c>
      <c r="BK9" s="146">
        <f t="shared" ref="BK9:BK16" si="15">+BJ9/100*60</f>
        <v>-3.9999999999643871E-3</v>
      </c>
      <c r="BL9" s="164"/>
      <c r="BM9" s="157">
        <f>+P9</f>
        <v>7.0359999999999996</v>
      </c>
      <c r="BN9">
        <f t="shared" ref="BN9:BN38" si="16">+IF(BM9="",1,2)</f>
        <v>2</v>
      </c>
    </row>
    <row r="10" spans="1:66" ht="15.95" customHeight="1" x14ac:dyDescent="0.25">
      <c r="A10" s="125"/>
      <c r="B10" s="79">
        <f>IF($I10&lt;&gt;"",IF(WEEKDAY($I10,2)&lt;6,IF(VLOOKUP(WEEKDAY($I10,2),InputUge,3)&gt;0,IF($A10="",VLOOKUP(WEEKDAY($I10,2),InputUge,3)+MAX(B$8:B9),IF($A10&lt;VLOOKUP(WEEKDAY($I10,2),InputUge,3),$A10+MAX(B$8:B9),VLOOKUP(WEEKDAY($I10,2),InputUge,3)+MAX(B$8:B9))),""),""),"")</f>
        <v>14.129999999999999</v>
      </c>
      <c r="C10" s="144">
        <f t="shared" ref="C10:C38" si="17">IF(B10&lt;0,-1,1)</f>
        <v>1</v>
      </c>
      <c r="D10" s="146">
        <f t="shared" ref="D10:D38" si="18">FLOOR(B10,C10)</f>
        <v>14</v>
      </c>
      <c r="E10" s="146">
        <f t="shared" ref="E10:E38" si="19">+B10-D10</f>
        <v>0.12999999999999901</v>
      </c>
      <c r="F10" s="146">
        <f t="shared" ref="F10:F38" si="20">+E10/100*60</f>
        <v>7.7999999999999403E-2</v>
      </c>
      <c r="G10" s="261">
        <f>+F10+D10</f>
        <v>14.077999999999999</v>
      </c>
      <c r="H10" s="4">
        <v>2</v>
      </c>
      <c r="I10" s="16">
        <f t="shared" ref="I10:I38" si="21">+I9+1</f>
        <v>41366</v>
      </c>
      <c r="J10" s="6">
        <v>0.34826388888888887</v>
      </c>
      <c r="K10" s="6">
        <v>0.64265046296296291</v>
      </c>
      <c r="L10" s="5">
        <f>IF(K10&gt;0,ROUND(((K10-J10)*24)-SUM(BR10:BS10)+BT10,2)+IF(Fredagsfrokost="n",IF(WEEKDAY($I10,2)=5,IF(K10&gt;=0.5,IF(K10&lt;=13/24,0,0),0),0),0),IF(AW10&gt;0,AW10,""))</f>
        <v>7.07</v>
      </c>
      <c r="M10" s="141">
        <f t="shared" si="0"/>
        <v>7</v>
      </c>
      <c r="N10" s="141">
        <f t="shared" si="1"/>
        <v>7.0000000000000284E-2</v>
      </c>
      <c r="O10" s="141">
        <f t="shared" si="2"/>
        <v>4.2000000000000169E-2</v>
      </c>
      <c r="P10" s="162">
        <f t="shared" si="3"/>
        <v>7.0419999999999998</v>
      </c>
      <c r="Q10" s="591"/>
      <c r="R10" s="592"/>
      <c r="S10" s="592"/>
      <c r="T10" s="593"/>
      <c r="U10" s="417"/>
      <c r="V10" s="240">
        <f t="shared" si="4"/>
        <v>0</v>
      </c>
      <c r="W10" s="240">
        <f t="shared" ref="W10:W38" si="22">+U10-V10</f>
        <v>0</v>
      </c>
      <c r="X10" s="240">
        <f t="shared" si="5"/>
        <v>0</v>
      </c>
      <c r="Y10" s="242">
        <f>+X10+V10</f>
        <v>0</v>
      </c>
      <c r="Z10" s="418"/>
      <c r="AA10" s="418"/>
      <c r="AB10" s="418"/>
      <c r="AC10" s="418"/>
      <c r="AD10" s="417"/>
      <c r="AE10" s="240">
        <f t="shared" si="6"/>
        <v>0</v>
      </c>
      <c r="AF10" s="240">
        <f t="shared" si="7"/>
        <v>0</v>
      </c>
      <c r="AG10" s="240">
        <f t="shared" si="8"/>
        <v>0</v>
      </c>
      <c r="AH10" s="242">
        <f t="shared" ref="AH10:AH38" si="23">+AG10+AE10</f>
        <v>0</v>
      </c>
      <c r="AI10" s="245"/>
      <c r="AJ10" s="245"/>
      <c r="AK10" s="245"/>
      <c r="AL10" s="419"/>
      <c r="AM10" s="472"/>
      <c r="AN10" s="240">
        <f t="shared" si="9"/>
        <v>0</v>
      </c>
      <c r="AO10" s="240">
        <f t="shared" si="10"/>
        <v>0</v>
      </c>
      <c r="AP10" s="240">
        <f t="shared" si="11"/>
        <v>0</v>
      </c>
      <c r="AQ10" s="242">
        <f t="shared" ref="AQ10:AQ38" si="24">+AP10+AN10</f>
        <v>0</v>
      </c>
      <c r="AR10" s="245"/>
      <c r="AS10" s="245"/>
      <c r="AT10" s="245"/>
      <c r="AU10" s="419"/>
      <c r="AZ10" s="189"/>
      <c r="BA10" s="189"/>
      <c r="BB10" s="189"/>
      <c r="BC10" s="189"/>
      <c r="BD10" s="189"/>
      <c r="BE10" s="189"/>
      <c r="BG10" s="145">
        <f>IF($K10&gt;=0,+SUM(L$9:$L10)-$B10+Apr!$AZ$40+SUM(AQ$9:$AQ10)," ")</f>
        <v>-3.3333333332734583E-3</v>
      </c>
      <c r="BH10" s="144">
        <f t="shared" si="12"/>
        <v>-1</v>
      </c>
      <c r="BI10" s="146">
        <f t="shared" si="13"/>
        <v>0</v>
      </c>
      <c r="BJ10" s="146">
        <f t="shared" si="14"/>
        <v>-3.3333333332734583E-3</v>
      </c>
      <c r="BK10" s="146">
        <f t="shared" si="15"/>
        <v>-1.9999999999640752E-3</v>
      </c>
      <c r="BL10" s="164">
        <f>IF(BN10=2,+BK10+BI10,"")</f>
        <v>-1.9999999999640752E-3</v>
      </c>
      <c r="BM10" s="157">
        <f>+P10</f>
        <v>7.0419999999999998</v>
      </c>
      <c r="BN10">
        <f t="shared" si="16"/>
        <v>2</v>
      </c>
    </row>
    <row r="11" spans="1:66" ht="15.95" customHeight="1" x14ac:dyDescent="0.25">
      <c r="A11" s="83"/>
      <c r="B11" s="79">
        <f>IF($I11&lt;&gt;"",IF(WEEKDAY($I11,2)&lt;6,IF(VLOOKUP(WEEKDAY($I11,2),InputUge,3)&gt;0,IF($A11="",VLOOKUP(WEEKDAY($I11,2),InputUge,3)+MAX(B$8:B10),IF($A11&lt;VLOOKUP(WEEKDAY($I11,2),InputUge,3),$A11+MAX(B$8:B10),VLOOKUP(WEEKDAY($I11,2),InputUge,3)+MAX(B$8:B10))),""),""),"")</f>
        <v>21.196666666666665</v>
      </c>
      <c r="C11" s="144">
        <f t="shared" si="17"/>
        <v>1</v>
      </c>
      <c r="D11" s="146">
        <f t="shared" si="18"/>
        <v>21</v>
      </c>
      <c r="E11" s="146">
        <f t="shared" si="19"/>
        <v>0.19666666666666544</v>
      </c>
      <c r="F11" s="146">
        <f t="shared" si="20"/>
        <v>0.11799999999999926</v>
      </c>
      <c r="G11" s="261">
        <f>+F11+D11</f>
        <v>21.117999999999999</v>
      </c>
      <c r="H11" s="4">
        <v>3</v>
      </c>
      <c r="I11" s="16">
        <f t="shared" si="21"/>
        <v>41367</v>
      </c>
      <c r="J11" s="6">
        <v>0.34791666666666665</v>
      </c>
      <c r="K11" s="6">
        <v>0.64253472222222219</v>
      </c>
      <c r="L11" s="5">
        <f>IF(K11&gt;0,ROUND(((K11-J11)*24)-SUM(BR11:BS11)+BT11,2)+IF(Fredagsfrokost="n",IF(WEEKDAY($I11,2)=5,IF(K11&gt;=0.5,IF(K11&lt;=13/24,0,0),0),0),0),IF(AW11&gt;0,AW11,""))</f>
        <v>7.07</v>
      </c>
      <c r="M11" s="141">
        <f t="shared" si="0"/>
        <v>7</v>
      </c>
      <c r="N11" s="141">
        <f t="shared" si="1"/>
        <v>7.0000000000000284E-2</v>
      </c>
      <c r="O11" s="141">
        <f t="shared" si="2"/>
        <v>4.2000000000000169E-2</v>
      </c>
      <c r="P11" s="162">
        <f t="shared" si="3"/>
        <v>7.0419999999999998</v>
      </c>
      <c r="Q11" s="591"/>
      <c r="R11" s="592"/>
      <c r="S11" s="592"/>
      <c r="T11" s="593"/>
      <c r="U11" s="417"/>
      <c r="V11" s="240">
        <f t="shared" si="4"/>
        <v>0</v>
      </c>
      <c r="W11" s="240">
        <f t="shared" si="22"/>
        <v>0</v>
      </c>
      <c r="X11" s="240">
        <f t="shared" si="5"/>
        <v>0</v>
      </c>
      <c r="Y11" s="242">
        <f>+X11+V11</f>
        <v>0</v>
      </c>
      <c r="Z11" s="417"/>
      <c r="AA11" s="417"/>
      <c r="AB11" s="417"/>
      <c r="AC11" s="417"/>
      <c r="AD11" s="417"/>
      <c r="AE11" s="240">
        <f t="shared" si="6"/>
        <v>0</v>
      </c>
      <c r="AF11" s="240">
        <f t="shared" si="7"/>
        <v>0</v>
      </c>
      <c r="AG11" s="240">
        <f t="shared" si="8"/>
        <v>0</v>
      </c>
      <c r="AH11" s="242">
        <f t="shared" si="23"/>
        <v>0</v>
      </c>
      <c r="AI11" s="245"/>
      <c r="AJ11" s="245"/>
      <c r="AK11" s="245"/>
      <c r="AL11" s="420"/>
      <c r="AM11" s="472"/>
      <c r="AN11" s="240">
        <f t="shared" si="9"/>
        <v>0</v>
      </c>
      <c r="AO11" s="240">
        <f t="shared" si="10"/>
        <v>0</v>
      </c>
      <c r="AP11" s="240">
        <f t="shared" si="11"/>
        <v>0</v>
      </c>
      <c r="AQ11" s="242">
        <f t="shared" si="24"/>
        <v>0</v>
      </c>
      <c r="AR11" s="245"/>
      <c r="AS11" s="245"/>
      <c r="AT11" s="245"/>
      <c r="AU11" s="420"/>
      <c r="AZ11" s="189"/>
      <c r="BA11" s="189"/>
      <c r="BB11" s="189"/>
      <c r="BC11" s="189"/>
      <c r="BD11" s="189"/>
      <c r="BE11" s="189"/>
      <c r="BG11" s="145">
        <f>IF($K11&gt;=0,+SUM(L$9:$L11)-$B11+Apr!$AZ$40+SUM(AQ$9:$AQ11)," ")</f>
        <v>6.0396132539608516E-14</v>
      </c>
      <c r="BH11" s="144">
        <f t="shared" si="12"/>
        <v>1</v>
      </c>
      <c r="BI11" s="146">
        <f t="shared" si="13"/>
        <v>0</v>
      </c>
      <c r="BJ11" s="146">
        <f t="shared" si="14"/>
        <v>6.0396132539608516E-14</v>
      </c>
      <c r="BK11" s="146">
        <f t="shared" si="15"/>
        <v>3.6237679523765113E-14</v>
      </c>
      <c r="BL11" s="164">
        <f>IF(BN11=2,+BK11+BI11,"")</f>
        <v>3.6237679523765113E-14</v>
      </c>
      <c r="BM11" s="157">
        <f>+P11</f>
        <v>7.0419999999999998</v>
      </c>
      <c r="BN11">
        <f t="shared" si="16"/>
        <v>2</v>
      </c>
    </row>
    <row r="12" spans="1:66" ht="15.95" customHeight="1" x14ac:dyDescent="0.25">
      <c r="A12" s="83"/>
      <c r="B12" s="79">
        <f>IF($I12&lt;&gt;"",IF(WEEKDAY($I12,2)&lt;6,IF(VLOOKUP(WEEKDAY($I12,2),InputUge,3)&gt;0,IF($A12="",VLOOKUP(WEEKDAY($I12,2),InputUge,3)+MAX(B$8:B11),IF($A12&lt;VLOOKUP(WEEKDAY($I12,2),InputUge,3),$A12+MAX(B$8:B11),VLOOKUP(WEEKDAY($I12,2),InputUge,3)+MAX(B$8:B11))),""),""),"")</f>
        <v>30.606666666666666</v>
      </c>
      <c r="C12" s="144">
        <f t="shared" si="17"/>
        <v>1</v>
      </c>
      <c r="D12" s="146">
        <f t="shared" si="18"/>
        <v>30</v>
      </c>
      <c r="E12" s="146">
        <f t="shared" si="19"/>
        <v>0.60666666666666558</v>
      </c>
      <c r="F12" s="146">
        <f t="shared" si="20"/>
        <v>0.36399999999999938</v>
      </c>
      <c r="G12" s="261">
        <f t="shared" ref="G12:G38" si="25">+F12+D12</f>
        <v>30.364000000000001</v>
      </c>
      <c r="H12" s="4">
        <v>4</v>
      </c>
      <c r="I12" s="16">
        <f t="shared" si="21"/>
        <v>41368</v>
      </c>
      <c r="J12" s="6">
        <v>0.34791666666666665</v>
      </c>
      <c r="K12" s="6">
        <v>0.73991898148148139</v>
      </c>
      <c r="L12" s="5">
        <f>IF(K12&gt;0,ROUND(((K12-J12)*24)-SUM(BR12:BS12)+BT12,2)+IF(Fredagsfrokost="n",IF(WEEKDAY($I12,2)=5,IF(K12&gt;=0.5,IF(K12&lt;=13/24,0,0),0),0),0),IF(AW12&gt;0,AW12,""))</f>
        <v>9.41</v>
      </c>
      <c r="M12" s="141">
        <f t="shared" si="0"/>
        <v>9</v>
      </c>
      <c r="N12" s="141">
        <f t="shared" si="1"/>
        <v>0.41000000000000014</v>
      </c>
      <c r="O12" s="141">
        <f t="shared" si="2"/>
        <v>0.24600000000000008</v>
      </c>
      <c r="P12" s="162">
        <f t="shared" si="3"/>
        <v>9.2460000000000004</v>
      </c>
      <c r="Q12" s="591"/>
      <c r="R12" s="592"/>
      <c r="S12" s="592"/>
      <c r="T12" s="593"/>
      <c r="U12" s="417"/>
      <c r="V12" s="240">
        <f t="shared" si="4"/>
        <v>0</v>
      </c>
      <c r="W12" s="240">
        <f t="shared" si="22"/>
        <v>0</v>
      </c>
      <c r="X12" s="240">
        <f t="shared" si="5"/>
        <v>0</v>
      </c>
      <c r="Y12" s="242">
        <f>+X12+V12</f>
        <v>0</v>
      </c>
      <c r="Z12" s="417"/>
      <c r="AA12" s="417"/>
      <c r="AB12" s="417"/>
      <c r="AC12" s="417"/>
      <c r="AD12" s="417"/>
      <c r="AE12" s="240">
        <f t="shared" si="6"/>
        <v>0</v>
      </c>
      <c r="AF12" s="240">
        <f t="shared" si="7"/>
        <v>0</v>
      </c>
      <c r="AG12" s="240">
        <f t="shared" si="8"/>
        <v>0</v>
      </c>
      <c r="AH12" s="242">
        <f t="shared" si="23"/>
        <v>0</v>
      </c>
      <c r="AI12" s="245"/>
      <c r="AJ12" s="245"/>
      <c r="AK12" s="245"/>
      <c r="AL12" s="420"/>
      <c r="AM12" s="472"/>
      <c r="AN12" s="240">
        <f t="shared" si="9"/>
        <v>0</v>
      </c>
      <c r="AO12" s="240">
        <f t="shared" si="10"/>
        <v>0</v>
      </c>
      <c r="AP12" s="240">
        <f t="shared" si="11"/>
        <v>0</v>
      </c>
      <c r="AQ12" s="242">
        <f t="shared" si="24"/>
        <v>0</v>
      </c>
      <c r="AR12" s="245"/>
      <c r="AS12" s="245"/>
      <c r="AT12" s="245"/>
      <c r="AU12" s="420"/>
      <c r="AZ12" s="189"/>
      <c r="BA12" s="189"/>
      <c r="BB12" s="189"/>
      <c r="BC12" s="189"/>
      <c r="BD12" s="189"/>
      <c r="BE12" s="189"/>
      <c r="BG12" s="145">
        <f>IF($K12&gt;=0,+SUM(L$9:$L12)-$B12+Apr!$AZ$40+SUM(AQ$9:$AQ12)," ")</f>
        <v>6.0396132539608516E-14</v>
      </c>
      <c r="BH12" s="144">
        <f t="shared" si="12"/>
        <v>1</v>
      </c>
      <c r="BI12" s="146">
        <f t="shared" si="13"/>
        <v>0</v>
      </c>
      <c r="BJ12" s="146">
        <f t="shared" si="14"/>
        <v>6.0396132539608516E-14</v>
      </c>
      <c r="BK12" s="146">
        <f t="shared" si="15"/>
        <v>3.6237679523765113E-14</v>
      </c>
      <c r="BL12" s="164">
        <f>IF(BN12=2,+BK12+BI12,"")</f>
        <v>3.6237679523765113E-14</v>
      </c>
      <c r="BM12" s="157">
        <f t="shared" ref="BM12:BM24" si="26">+P12</f>
        <v>9.2460000000000004</v>
      </c>
      <c r="BN12">
        <f t="shared" si="16"/>
        <v>2</v>
      </c>
    </row>
    <row r="13" spans="1:66" ht="15.95" customHeight="1" x14ac:dyDescent="0.25">
      <c r="A13" s="125"/>
      <c r="B13" s="79">
        <f>IF($I13&lt;&gt;"",IF(WEEKDAY($I13,2)&lt;6,IF(VLOOKUP(WEEKDAY($I13,2),InputUge,3)&gt;0,IF($A13="",VLOOKUP(WEEKDAY($I13,2),InputUge,3)+MAX(B$8:B12),IF($A13&lt;VLOOKUP(WEEKDAY($I13,2),InputUge,3),$A13+MAX(B$8:B12),VLOOKUP(WEEKDAY($I13,2),InputUge,3)+MAX(B$8:B12))),""),""),"")</f>
        <v>37.006666666666668</v>
      </c>
      <c r="C13" s="144">
        <f t="shared" si="17"/>
        <v>1</v>
      </c>
      <c r="D13" s="146">
        <f t="shared" si="18"/>
        <v>37</v>
      </c>
      <c r="E13" s="146">
        <f t="shared" si="19"/>
        <v>6.6666666666677088E-3</v>
      </c>
      <c r="F13" s="146">
        <f t="shared" si="20"/>
        <v>4.0000000000006255E-3</v>
      </c>
      <c r="G13" s="261">
        <f t="shared" si="25"/>
        <v>37.003999999999998</v>
      </c>
      <c r="H13" s="4">
        <v>5</v>
      </c>
      <c r="I13" s="127">
        <f t="shared" si="21"/>
        <v>41369</v>
      </c>
      <c r="J13" s="6">
        <v>0.34791666666666665</v>
      </c>
      <c r="K13" s="6">
        <v>0.61458333333333337</v>
      </c>
      <c r="L13" s="5">
        <f>IF(K13&gt;0,ROUND(((K13-J13)*24)-SUM(BR13:BS13)+BT13,2)+IF(Fredagsfrokost="n",IF(WEEKDAY($I13,2)=5,IF(K13&gt;=0.5,IF(K13&lt;=13/24,0,0),0),0),0),IF(AW13&gt;0,AW13,""))</f>
        <v>6.4</v>
      </c>
      <c r="M13" s="141">
        <f t="shared" si="0"/>
        <v>6</v>
      </c>
      <c r="N13" s="141">
        <f t="shared" si="1"/>
        <v>0.40000000000000036</v>
      </c>
      <c r="O13" s="141">
        <f t="shared" si="2"/>
        <v>0.24000000000000021</v>
      </c>
      <c r="P13" s="162">
        <f t="shared" si="3"/>
        <v>6.24</v>
      </c>
      <c r="Q13" s="591"/>
      <c r="R13" s="592"/>
      <c r="S13" s="592"/>
      <c r="T13" s="593"/>
      <c r="U13" s="417"/>
      <c r="V13" s="240">
        <f t="shared" si="4"/>
        <v>0</v>
      </c>
      <c r="W13" s="240">
        <f t="shared" si="22"/>
        <v>0</v>
      </c>
      <c r="X13" s="240">
        <f t="shared" si="5"/>
        <v>0</v>
      </c>
      <c r="Y13" s="242">
        <f>+X13+V13</f>
        <v>0</v>
      </c>
      <c r="Z13" s="417"/>
      <c r="AA13" s="417"/>
      <c r="AB13" s="417"/>
      <c r="AC13" s="417"/>
      <c r="AD13" s="417"/>
      <c r="AE13" s="240">
        <f t="shared" si="6"/>
        <v>0</v>
      </c>
      <c r="AF13" s="240">
        <f t="shared" si="7"/>
        <v>0</v>
      </c>
      <c r="AG13" s="240">
        <f t="shared" si="8"/>
        <v>0</v>
      </c>
      <c r="AH13" s="242">
        <f t="shared" si="23"/>
        <v>0</v>
      </c>
      <c r="AI13" s="245"/>
      <c r="AJ13" s="245"/>
      <c r="AK13" s="245"/>
      <c r="AL13" s="240"/>
      <c r="AM13" s="472"/>
      <c r="AN13" s="240">
        <f t="shared" si="9"/>
        <v>0</v>
      </c>
      <c r="AO13" s="240">
        <f t="shared" si="10"/>
        <v>0</v>
      </c>
      <c r="AP13" s="240">
        <f t="shared" si="11"/>
        <v>0</v>
      </c>
      <c r="AQ13" s="242">
        <f t="shared" si="24"/>
        <v>0</v>
      </c>
      <c r="AR13" s="245"/>
      <c r="AS13" s="245"/>
      <c r="AT13" s="245"/>
      <c r="AU13" s="240"/>
      <c r="AZ13" s="189"/>
      <c r="BA13" s="189"/>
      <c r="BB13" s="189"/>
      <c r="BC13" s="189"/>
      <c r="BD13" s="189"/>
      <c r="BE13" s="189"/>
      <c r="BG13" s="145">
        <f>IF($K13&gt;=0,+SUM(L$9:$L13)-$B13+Apr!$AZ$40+SUM(AQ$9:$AQ13)," ")</f>
        <v>5.6843418860808015E-14</v>
      </c>
      <c r="BH13" s="144">
        <f t="shared" si="12"/>
        <v>1</v>
      </c>
      <c r="BI13" s="146">
        <f t="shared" si="13"/>
        <v>0</v>
      </c>
      <c r="BJ13" s="146">
        <f t="shared" si="14"/>
        <v>5.6843418860808015E-14</v>
      </c>
      <c r="BK13" s="146">
        <f t="shared" si="15"/>
        <v>3.4106051316484808E-14</v>
      </c>
      <c r="BL13" s="164">
        <f>IF(BN13=2,+BK13+BI13,"")</f>
        <v>3.4106051316484808E-14</v>
      </c>
      <c r="BM13" s="157">
        <f t="shared" si="26"/>
        <v>6.24</v>
      </c>
      <c r="BN13">
        <f t="shared" si="16"/>
        <v>2</v>
      </c>
    </row>
    <row r="14" spans="1:66" ht="15.95" customHeight="1" x14ac:dyDescent="0.25">
      <c r="A14" s="125"/>
      <c r="B14" s="79" t="str">
        <f>IF($I14&lt;&gt;"",IF(WEEKDAY($I14,2)&lt;6,IF(VLOOKUP(WEEKDAY($I14,2),InputUge,3)&gt;0,IF($A14="",VLOOKUP(WEEKDAY($I14,2),InputUge,3)+MAX(B$8:B13),IF($A14&lt;VLOOKUP(WEEKDAY($I14,2),InputUge,3),$A14+MAX(B$8:B13),VLOOKUP(WEEKDAY($I14,2),InputUge,3)+MAX(B$8:B13))),""),""),"")</f>
        <v/>
      </c>
      <c r="C14" s="144">
        <f t="shared" si="17"/>
        <v>1</v>
      </c>
      <c r="D14" s="146" t="e">
        <f t="shared" si="18"/>
        <v>#VALUE!</v>
      </c>
      <c r="E14" s="146" t="e">
        <f t="shared" si="19"/>
        <v>#VALUE!</v>
      </c>
      <c r="F14" s="146" t="e">
        <f t="shared" si="20"/>
        <v>#VALUE!</v>
      </c>
      <c r="G14" s="261"/>
      <c r="H14" s="4">
        <v>6</v>
      </c>
      <c r="I14" s="127">
        <f t="shared" si="21"/>
        <v>41370</v>
      </c>
      <c r="J14" s="6"/>
      <c r="K14" s="6"/>
      <c r="L14" s="5"/>
      <c r="M14" s="141">
        <f t="shared" si="0"/>
        <v>0</v>
      </c>
      <c r="N14" s="141">
        <f t="shared" si="1"/>
        <v>0</v>
      </c>
      <c r="O14" s="141">
        <f t="shared" si="2"/>
        <v>0</v>
      </c>
      <c r="P14" s="162" t="str">
        <f t="shared" si="3"/>
        <v/>
      </c>
      <c r="Q14" s="591"/>
      <c r="R14" s="592"/>
      <c r="S14" s="592"/>
      <c r="T14" s="593"/>
      <c r="U14" s="417"/>
      <c r="V14" s="240">
        <f t="shared" si="4"/>
        <v>0</v>
      </c>
      <c r="W14" s="240">
        <f t="shared" si="22"/>
        <v>0</v>
      </c>
      <c r="X14" s="240">
        <f t="shared" si="5"/>
        <v>0</v>
      </c>
      <c r="Y14" s="242">
        <f t="shared" ref="Y14:Y38" si="27">+X14+V14</f>
        <v>0</v>
      </c>
      <c r="Z14" s="417"/>
      <c r="AA14" s="417"/>
      <c r="AB14" s="417"/>
      <c r="AC14" s="417"/>
      <c r="AD14" s="417"/>
      <c r="AE14" s="240">
        <f t="shared" si="6"/>
        <v>0</v>
      </c>
      <c r="AF14" s="240">
        <f t="shared" si="7"/>
        <v>0</v>
      </c>
      <c r="AG14" s="240">
        <f t="shared" si="8"/>
        <v>0</v>
      </c>
      <c r="AH14" s="242">
        <f t="shared" si="23"/>
        <v>0</v>
      </c>
      <c r="AI14" s="245"/>
      <c r="AJ14" s="245"/>
      <c r="AK14" s="245"/>
      <c r="AL14" s="420"/>
      <c r="AM14" s="472"/>
      <c r="AN14" s="240">
        <f t="shared" si="9"/>
        <v>0</v>
      </c>
      <c r="AO14" s="240">
        <f t="shared" si="10"/>
        <v>0</v>
      </c>
      <c r="AP14" s="240">
        <f t="shared" si="11"/>
        <v>0</v>
      </c>
      <c r="AQ14" s="242">
        <f t="shared" si="24"/>
        <v>0</v>
      </c>
      <c r="AR14" s="245"/>
      <c r="AS14" s="245"/>
      <c r="AT14" s="245"/>
      <c r="AU14" s="420"/>
      <c r="AZ14" s="189"/>
      <c r="BA14" s="189"/>
      <c r="BB14" s="189"/>
      <c r="BC14" s="189"/>
      <c r="BD14" s="189"/>
      <c r="BE14" s="189"/>
      <c r="BG14" s="145" t="e">
        <f>IF($K14&gt;=0,+SUM(L$9:$L14)-$B14+Apr!$AZ$40+SUM(AQ$9:$AQ14)," ")</f>
        <v>#VALUE!</v>
      </c>
      <c r="BH14" s="144" t="e">
        <f t="shared" si="12"/>
        <v>#VALUE!</v>
      </c>
      <c r="BI14" s="146" t="e">
        <f t="shared" si="13"/>
        <v>#VALUE!</v>
      </c>
      <c r="BJ14" s="146" t="e">
        <f t="shared" si="14"/>
        <v>#VALUE!</v>
      </c>
      <c r="BK14" s="146" t="e">
        <f t="shared" si="15"/>
        <v>#VALUE!</v>
      </c>
      <c r="BL14" s="164" t="str">
        <f>IF(BN14=2,+BK14+BI14,"")</f>
        <v/>
      </c>
      <c r="BM14" s="157" t="str">
        <f t="shared" si="26"/>
        <v/>
      </c>
      <c r="BN14">
        <f t="shared" si="16"/>
        <v>1</v>
      </c>
    </row>
    <row r="15" spans="1:66" ht="15.95" customHeight="1" x14ac:dyDescent="0.25">
      <c r="A15" s="125"/>
      <c r="B15" s="79" t="str">
        <f>IF($I15&lt;&gt;"",IF(WEEKDAY($I15,2)&lt;6,IF(VLOOKUP(WEEKDAY($I15,2),InputUge,3)&gt;0,IF($A15="",VLOOKUP(WEEKDAY($I15,2),InputUge,3)+MAX(B$8:B14),IF($A15&lt;VLOOKUP(WEEKDAY($I15,2),InputUge,3),$A15+MAX(B$8:B14),VLOOKUP(WEEKDAY($I15,2),InputUge,3)+MAX(B$8:B14))),""),""),"")</f>
        <v/>
      </c>
      <c r="C15" s="144">
        <f t="shared" si="17"/>
        <v>1</v>
      </c>
      <c r="D15" s="146" t="e">
        <f t="shared" si="18"/>
        <v>#VALUE!</v>
      </c>
      <c r="E15" s="146" t="e">
        <f t="shared" si="19"/>
        <v>#VALUE!</v>
      </c>
      <c r="F15" s="146" t="e">
        <f t="shared" si="20"/>
        <v>#VALUE!</v>
      </c>
      <c r="G15" s="261"/>
      <c r="H15" s="4">
        <v>7</v>
      </c>
      <c r="I15" s="16">
        <f t="shared" si="21"/>
        <v>41371</v>
      </c>
      <c r="J15" s="6"/>
      <c r="K15" s="6"/>
      <c r="L15" s="5"/>
      <c r="M15" s="141"/>
      <c r="N15" s="141"/>
      <c r="O15" s="141"/>
      <c r="P15" s="162"/>
      <c r="Q15" s="591"/>
      <c r="R15" s="592"/>
      <c r="S15" s="592"/>
      <c r="T15" s="593"/>
      <c r="U15" s="417"/>
      <c r="V15" s="240">
        <f t="shared" si="4"/>
        <v>0</v>
      </c>
      <c r="W15" s="240">
        <f t="shared" si="22"/>
        <v>0</v>
      </c>
      <c r="X15" s="240">
        <f t="shared" si="5"/>
        <v>0</v>
      </c>
      <c r="Y15" s="242">
        <f t="shared" si="27"/>
        <v>0</v>
      </c>
      <c r="Z15" s="417"/>
      <c r="AA15" s="417"/>
      <c r="AB15" s="417"/>
      <c r="AC15" s="417"/>
      <c r="AD15" s="417"/>
      <c r="AE15" s="240">
        <f t="shared" si="6"/>
        <v>0</v>
      </c>
      <c r="AF15" s="240">
        <f t="shared" si="7"/>
        <v>0</v>
      </c>
      <c r="AG15" s="240">
        <f t="shared" si="8"/>
        <v>0</v>
      </c>
      <c r="AH15" s="242">
        <f t="shared" si="23"/>
        <v>0</v>
      </c>
      <c r="AI15" s="245"/>
      <c r="AJ15" s="245"/>
      <c r="AK15" s="245"/>
      <c r="AL15" s="420"/>
      <c r="AM15" s="472"/>
      <c r="AN15" s="240">
        <f t="shared" si="9"/>
        <v>0</v>
      </c>
      <c r="AO15" s="240">
        <f t="shared" si="10"/>
        <v>0</v>
      </c>
      <c r="AP15" s="240">
        <f t="shared" si="11"/>
        <v>0</v>
      </c>
      <c r="AQ15" s="242">
        <f t="shared" si="24"/>
        <v>0</v>
      </c>
      <c r="AR15" s="245"/>
      <c r="AS15" s="245"/>
      <c r="AT15" s="245"/>
      <c r="AU15" s="420"/>
      <c r="AZ15" s="189"/>
      <c r="BA15" s="189"/>
      <c r="BB15" s="189"/>
      <c r="BC15" s="189"/>
      <c r="BD15" s="189"/>
      <c r="BE15" s="189"/>
      <c r="BG15" s="145" t="e">
        <f>IF($K15&gt;=0,+SUM(L$9:$L15)-$B15+Apr!$AZ$40+SUM(AQ$9:$AQ15)," ")</f>
        <v>#VALUE!</v>
      </c>
      <c r="BH15" s="144" t="e">
        <f t="shared" si="12"/>
        <v>#VALUE!</v>
      </c>
      <c r="BI15" s="146" t="e">
        <f t="shared" si="13"/>
        <v>#VALUE!</v>
      </c>
      <c r="BJ15" s="146" t="e">
        <f t="shared" si="14"/>
        <v>#VALUE!</v>
      </c>
      <c r="BK15" s="146" t="e">
        <f t="shared" si="15"/>
        <v>#VALUE!</v>
      </c>
      <c r="BL15" s="164"/>
      <c r="BM15" s="157">
        <f t="shared" si="26"/>
        <v>0</v>
      </c>
      <c r="BN15">
        <f t="shared" si="16"/>
        <v>2</v>
      </c>
    </row>
    <row r="16" spans="1:66" ht="14.25" customHeight="1" x14ac:dyDescent="0.25">
      <c r="A16" s="125"/>
      <c r="B16" s="79">
        <f>IF($I16&lt;&gt;"",IF(WEEKDAY($I16,2)&lt;6,IF(VLOOKUP(WEEKDAY($I16,2),InputUge,3)&gt;0,IF($A16="",VLOOKUP(WEEKDAY($I16,2),InputUge,3)+MAX(B$8:B15),IF($A16&lt;VLOOKUP(WEEKDAY($I16,2),InputUge,3),$A16+MAX(B$8:B15),VLOOKUP(WEEKDAY($I16,2),InputUge,3)+MAX(B$8:B15))),""),""),"")</f>
        <v>44.07</v>
      </c>
      <c r="C16" s="144">
        <f t="shared" si="17"/>
        <v>1</v>
      </c>
      <c r="D16" s="146">
        <f t="shared" si="18"/>
        <v>44</v>
      </c>
      <c r="E16" s="146">
        <f t="shared" si="19"/>
        <v>7.0000000000000284E-2</v>
      </c>
      <c r="F16" s="146">
        <f t="shared" si="20"/>
        <v>4.2000000000000169E-2</v>
      </c>
      <c r="G16" s="261">
        <f t="shared" si="25"/>
        <v>44.042000000000002</v>
      </c>
      <c r="H16" s="4">
        <v>8</v>
      </c>
      <c r="I16" s="16">
        <f t="shared" si="21"/>
        <v>41372</v>
      </c>
      <c r="J16" s="6">
        <v>0.34826388888888887</v>
      </c>
      <c r="K16" s="6">
        <v>0.64236111111111105</v>
      </c>
      <c r="L16" s="5">
        <f>IF(K16&gt;0,ROUND(((K16-J16)*24)-SUM(BR16:BS16)+BT16,2)+IF(Fredagsfrokost="n",IF(WEEKDAY($I16,2)=5,IF(K16&gt;=0.5,IF(K16&lt;=13/24,0,0),0),0),0),IF(AW16&gt;0,AW16,""))</f>
        <v>7.06</v>
      </c>
      <c r="M16" s="141">
        <f>FLOOR(L16,1)</f>
        <v>7</v>
      </c>
      <c r="N16" s="141">
        <f>+L16-M16</f>
        <v>5.9999999999999609E-2</v>
      </c>
      <c r="O16" s="141">
        <f>+N16/100*60</f>
        <v>3.5999999999999761E-2</v>
      </c>
      <c r="P16" s="162">
        <f>IF(J16="","",O16+M16)</f>
        <v>7.0359999999999996</v>
      </c>
      <c r="Q16" s="591"/>
      <c r="R16" s="592"/>
      <c r="S16" s="592"/>
      <c r="T16" s="593"/>
      <c r="U16" s="417"/>
      <c r="V16" s="240">
        <f t="shared" si="4"/>
        <v>0</v>
      </c>
      <c r="W16" s="240">
        <f t="shared" si="22"/>
        <v>0</v>
      </c>
      <c r="X16" s="240">
        <f t="shared" si="5"/>
        <v>0</v>
      </c>
      <c r="Y16" s="242">
        <f t="shared" si="27"/>
        <v>0</v>
      </c>
      <c r="Z16" s="417"/>
      <c r="AA16" s="417"/>
      <c r="AB16" s="417"/>
      <c r="AC16" s="417"/>
      <c r="AD16" s="417"/>
      <c r="AE16" s="240">
        <f t="shared" si="6"/>
        <v>0</v>
      </c>
      <c r="AF16" s="240">
        <f t="shared" si="7"/>
        <v>0</v>
      </c>
      <c r="AG16" s="240">
        <f t="shared" si="8"/>
        <v>0</v>
      </c>
      <c r="AH16" s="242">
        <f t="shared" si="23"/>
        <v>0</v>
      </c>
      <c r="AI16" s="245"/>
      <c r="AJ16" s="245"/>
      <c r="AK16" s="245"/>
      <c r="AL16" s="420"/>
      <c r="AM16" s="472"/>
      <c r="AN16" s="240">
        <f t="shared" si="9"/>
        <v>0</v>
      </c>
      <c r="AO16" s="240">
        <f t="shared" si="10"/>
        <v>0</v>
      </c>
      <c r="AP16" s="240">
        <f t="shared" si="11"/>
        <v>0</v>
      </c>
      <c r="AQ16" s="242">
        <f t="shared" si="24"/>
        <v>0</v>
      </c>
      <c r="AR16" s="245"/>
      <c r="AS16" s="245"/>
      <c r="AT16" s="245"/>
      <c r="AU16" s="420"/>
      <c r="AZ16" s="189"/>
      <c r="BA16" s="189"/>
      <c r="BB16" s="189"/>
      <c r="BC16" s="189"/>
      <c r="BD16" s="189"/>
      <c r="BE16" s="189"/>
      <c r="BG16" s="145">
        <f>IF($K16&gt;=0,+SUM(L$9:$L16)-$B16+Apr!$AZ$40+SUM(AQ$9:$AQ16)," ")</f>
        <v>-3.3333333332734583E-3</v>
      </c>
      <c r="BH16" s="144">
        <f t="shared" si="12"/>
        <v>-1</v>
      </c>
      <c r="BI16" s="146">
        <f t="shared" si="13"/>
        <v>0</v>
      </c>
      <c r="BJ16" s="146">
        <f t="shared" si="14"/>
        <v>-3.3333333332734583E-3</v>
      </c>
      <c r="BK16" s="146">
        <f t="shared" si="15"/>
        <v>-1.9999999999640752E-3</v>
      </c>
      <c r="BL16" s="164">
        <f>IF(BN16=2,+BK16+BI16,"")</f>
        <v>-1.9999999999640752E-3</v>
      </c>
      <c r="BM16" s="157">
        <f t="shared" si="26"/>
        <v>7.0359999999999996</v>
      </c>
      <c r="BN16">
        <f t="shared" si="16"/>
        <v>2</v>
      </c>
    </row>
    <row r="17" spans="1:66" s="129" customFormat="1" ht="15.95" customHeight="1" x14ac:dyDescent="0.25">
      <c r="A17" s="125"/>
      <c r="B17" s="79">
        <f>IF($I17&lt;&gt;"",IF(WEEKDAY($I17,2)&lt;6,IF(VLOOKUP(WEEKDAY($I17,2),InputUge,3)&gt;0,IF($A17="",VLOOKUP(WEEKDAY($I17,2),InputUge,3)+MAX(B$8:B16),IF($A17&lt;VLOOKUP(WEEKDAY($I17,2),InputUge,3),$A17+MAX(B$8:B16),VLOOKUP(WEEKDAY($I17,2),InputUge,3)+MAX(B$8:B16))),""),""),"")</f>
        <v>51.13666666666667</v>
      </c>
      <c r="C17" s="144">
        <f t="shared" si="17"/>
        <v>1</v>
      </c>
      <c r="D17" s="146">
        <f t="shared" si="18"/>
        <v>51</v>
      </c>
      <c r="E17" s="146">
        <f t="shared" si="19"/>
        <v>0.13666666666667027</v>
      </c>
      <c r="F17" s="146">
        <f t="shared" si="20"/>
        <v>8.2000000000002154E-2</v>
      </c>
      <c r="G17" s="261">
        <f t="shared" si="25"/>
        <v>51.082000000000001</v>
      </c>
      <c r="H17" s="378">
        <v>9</v>
      </c>
      <c r="I17" s="127">
        <f t="shared" si="21"/>
        <v>41373</v>
      </c>
      <c r="J17" s="6">
        <v>0.34826388888888887</v>
      </c>
      <c r="K17" s="6">
        <v>0.64269675925925929</v>
      </c>
      <c r="L17" s="5">
        <f>IF(K17&gt;0,ROUND(((K17-J17)*24)-SUM(BR17:BS17)+BT17,2)+IF(Fredagsfrokost="n",IF(WEEKDAY($I17,2)=5,IF(K17&gt;=0.5,IF(K17&lt;=13/24,0,0),0),0),0),IF(AW17&gt;0,AW17,""))</f>
        <v>7.07</v>
      </c>
      <c r="M17" s="141">
        <f>FLOOR(L17,1)</f>
        <v>7</v>
      </c>
      <c r="N17" s="141">
        <f>+L17-M17</f>
        <v>7.0000000000000284E-2</v>
      </c>
      <c r="O17" s="141">
        <f>+N17/100*60</f>
        <v>4.2000000000000169E-2</v>
      </c>
      <c r="P17" s="162">
        <f>IF(J17="","",O17+M17)</f>
        <v>7.0419999999999998</v>
      </c>
      <c r="Q17" s="639"/>
      <c r="R17" s="640"/>
      <c r="S17" s="640"/>
      <c r="T17" s="641"/>
      <c r="U17" s="417"/>
      <c r="V17" s="240">
        <f t="shared" si="4"/>
        <v>0</v>
      </c>
      <c r="W17" s="240">
        <f t="shared" si="22"/>
        <v>0</v>
      </c>
      <c r="X17" s="240">
        <f t="shared" si="5"/>
        <v>0</v>
      </c>
      <c r="Y17" s="242">
        <f t="shared" si="27"/>
        <v>0</v>
      </c>
      <c r="Z17" s="417"/>
      <c r="AA17" s="417"/>
      <c r="AB17" s="417"/>
      <c r="AC17" s="417"/>
      <c r="AD17" s="417"/>
      <c r="AE17" s="240">
        <f t="shared" si="6"/>
        <v>0</v>
      </c>
      <c r="AF17" s="240">
        <f t="shared" si="7"/>
        <v>0</v>
      </c>
      <c r="AG17" s="240">
        <f t="shared" si="8"/>
        <v>0</v>
      </c>
      <c r="AH17" s="242">
        <f t="shared" si="23"/>
        <v>0</v>
      </c>
      <c r="AI17" s="245"/>
      <c r="AJ17" s="245"/>
      <c r="AK17" s="245"/>
      <c r="AL17" s="420"/>
      <c r="AM17" s="472"/>
      <c r="AN17" s="240">
        <f t="shared" si="9"/>
        <v>0</v>
      </c>
      <c r="AO17" s="240">
        <f t="shared" si="10"/>
        <v>0</v>
      </c>
      <c r="AP17" s="240">
        <f t="shared" si="11"/>
        <v>0</v>
      </c>
      <c r="AQ17" s="242">
        <f t="shared" si="24"/>
        <v>0</v>
      </c>
      <c r="AR17" s="245"/>
      <c r="AS17" s="245"/>
      <c r="AT17" s="245"/>
      <c r="AU17" s="420"/>
      <c r="AZ17" s="188"/>
      <c r="BA17" s="188"/>
      <c r="BB17" s="188"/>
      <c r="BC17" s="188"/>
      <c r="BD17" s="188"/>
      <c r="BE17" s="188"/>
      <c r="BG17" s="145">
        <f>IF($K17&gt;=0,+SUM(L$9:$L17)-$B17+Apr!$AZ$40+SUM(AQ$9:$AQ17)," ")</f>
        <v>5.6843418860808015E-14</v>
      </c>
      <c r="BH17" s="144">
        <f t="shared" ref="BH17:BH39" si="28">IF(BG17&lt;0,-1,1)</f>
        <v>1</v>
      </c>
      <c r="BI17" s="146">
        <f t="shared" si="13"/>
        <v>0</v>
      </c>
      <c r="BJ17" s="146">
        <f t="shared" si="14"/>
        <v>5.6843418860808015E-14</v>
      </c>
      <c r="BK17" s="146">
        <f t="shared" ref="BK17:BK39" si="29">+BJ17/100*60</f>
        <v>3.4106051316484808E-14</v>
      </c>
      <c r="BL17" s="164">
        <f>IF(BN17=2,+BK17+BI17,"")</f>
        <v>3.4106051316484808E-14</v>
      </c>
      <c r="BM17" s="157">
        <f>+P17</f>
        <v>7.0419999999999998</v>
      </c>
      <c r="BN17">
        <f t="shared" si="16"/>
        <v>2</v>
      </c>
    </row>
    <row r="18" spans="1:66" s="129" customFormat="1" ht="15.95" customHeight="1" x14ac:dyDescent="0.25">
      <c r="A18" s="125"/>
      <c r="B18" s="79">
        <f>IF($I18&lt;&gt;"",IF(WEEKDAY($I18,2)&lt;6,IF(VLOOKUP(WEEKDAY($I18,2),InputUge,3)&gt;0,IF($A18="",VLOOKUP(WEEKDAY($I18,2),InputUge,3)+MAX(B$8:B17),IF($A18&lt;VLOOKUP(WEEKDAY($I18,2),InputUge,3),$A18+MAX(B$8:B17),VLOOKUP(WEEKDAY($I18,2),InputUge,3)+MAX(B$8:B17))),""),""),"")</f>
        <v>58.203333333333333</v>
      </c>
      <c r="C18" s="144">
        <f t="shared" si="17"/>
        <v>1</v>
      </c>
      <c r="D18" s="146">
        <f t="shared" si="18"/>
        <v>58</v>
      </c>
      <c r="E18" s="146">
        <f t="shared" si="19"/>
        <v>0.20333333333333314</v>
      </c>
      <c r="F18" s="146">
        <f t="shared" si="20"/>
        <v>0.12199999999999989</v>
      </c>
      <c r="G18" s="261">
        <f t="shared" si="25"/>
        <v>58.122</v>
      </c>
      <c r="H18" s="378">
        <v>10</v>
      </c>
      <c r="I18" s="377">
        <f t="shared" si="21"/>
        <v>41374</v>
      </c>
      <c r="J18" s="6">
        <v>0.34791666666666665</v>
      </c>
      <c r="K18" s="6">
        <v>0.64253472222222219</v>
      </c>
      <c r="L18" s="5">
        <f>IF(K18&gt;0,ROUND(((K18-J18)*24)-SUM(BR18:BS18)+BT18,2)+IF(Fredagsfrokost="n",IF(WEEKDAY($I18,2)=5,IF(K18&gt;=0.5,IF(K18&lt;=13/24,0,0),0),0),0),IF(AW18&gt;0,AW18,""))</f>
        <v>7.07</v>
      </c>
      <c r="M18" s="141">
        <f>FLOOR(L18,1)</f>
        <v>7</v>
      </c>
      <c r="N18" s="141">
        <f>+L18-M18</f>
        <v>7.0000000000000284E-2</v>
      </c>
      <c r="O18" s="141">
        <f>+N18/100*60</f>
        <v>4.2000000000000169E-2</v>
      </c>
      <c r="P18" s="162">
        <f>IF(J18="","",O18+M18)</f>
        <v>7.0419999999999998</v>
      </c>
      <c r="Q18" s="639"/>
      <c r="R18" s="640"/>
      <c r="S18" s="640"/>
      <c r="T18" s="641"/>
      <c r="U18" s="417"/>
      <c r="V18" s="240">
        <f t="shared" si="4"/>
        <v>0</v>
      </c>
      <c r="W18" s="240">
        <f t="shared" si="22"/>
        <v>0</v>
      </c>
      <c r="X18" s="240">
        <f t="shared" si="5"/>
        <v>0</v>
      </c>
      <c r="Y18" s="242">
        <f t="shared" si="27"/>
        <v>0</v>
      </c>
      <c r="Z18" s="417"/>
      <c r="AA18" s="417"/>
      <c r="AB18" s="417"/>
      <c r="AC18" s="417"/>
      <c r="AD18" s="417"/>
      <c r="AE18" s="240">
        <f t="shared" si="6"/>
        <v>0</v>
      </c>
      <c r="AF18" s="240">
        <f t="shared" si="7"/>
        <v>0</v>
      </c>
      <c r="AG18" s="240">
        <f t="shared" si="8"/>
        <v>0</v>
      </c>
      <c r="AH18" s="242">
        <f t="shared" si="23"/>
        <v>0</v>
      </c>
      <c r="AI18" s="245"/>
      <c r="AJ18" s="245"/>
      <c r="AK18" s="245"/>
      <c r="AL18" s="420"/>
      <c r="AM18" s="472"/>
      <c r="AN18" s="240">
        <f t="shared" si="9"/>
        <v>0</v>
      </c>
      <c r="AO18" s="240">
        <f t="shared" si="10"/>
        <v>0</v>
      </c>
      <c r="AP18" s="240">
        <f t="shared" si="11"/>
        <v>0</v>
      </c>
      <c r="AQ18" s="242">
        <f t="shared" si="24"/>
        <v>0</v>
      </c>
      <c r="AR18" s="245"/>
      <c r="AS18" s="245"/>
      <c r="AT18" s="245"/>
      <c r="AU18" s="420"/>
      <c r="AZ18" s="188"/>
      <c r="BA18" s="188"/>
      <c r="BB18" s="188"/>
      <c r="BC18" s="188"/>
      <c r="BD18" s="188"/>
      <c r="BE18" s="188"/>
      <c r="BG18" s="145">
        <f>IF($K18&gt;=0,+SUM(L$9:$L18)-$B18+Apr!$AZ$40+SUM(AQ$9:$AQ18)," ")</f>
        <v>3.3333333333942505E-3</v>
      </c>
      <c r="BH18" s="144">
        <f t="shared" si="28"/>
        <v>1</v>
      </c>
      <c r="BI18" s="146">
        <f>FLOOR(BG18,BH18)</f>
        <v>0</v>
      </c>
      <c r="BJ18" s="146">
        <f>+BG18-BI18</f>
        <v>3.3333333333942505E-3</v>
      </c>
      <c r="BK18" s="146">
        <f t="shared" si="29"/>
        <v>2.0000000000365507E-3</v>
      </c>
      <c r="BL18" s="164">
        <f>IF(BN18=2,+BK18+BI18,"")</f>
        <v>2.0000000000365507E-3</v>
      </c>
      <c r="BM18" s="157">
        <f>+P18</f>
        <v>7.0419999999999998</v>
      </c>
      <c r="BN18">
        <f t="shared" si="16"/>
        <v>2</v>
      </c>
    </row>
    <row r="19" spans="1:66" ht="15.95" customHeight="1" x14ac:dyDescent="0.25">
      <c r="A19" s="83"/>
      <c r="B19" s="79">
        <f>IF($I19&lt;&gt;"",IF(WEEKDAY($I19,2)&lt;6,IF(VLOOKUP(WEEKDAY($I19,2),InputUge,3)&gt;0,IF($A19="",VLOOKUP(WEEKDAY($I19,2),InputUge,3)+MAX(B$8:B18),IF($A19&lt;VLOOKUP(WEEKDAY($I19,2),InputUge,3),$A19+MAX(B$8:B18),VLOOKUP(WEEKDAY($I19,2),InputUge,3)+MAX(B$8:B18))),""),""),"")</f>
        <v>67.61333333333333</v>
      </c>
      <c r="C19" s="144">
        <f t="shared" si="17"/>
        <v>1</v>
      </c>
      <c r="D19" s="146">
        <f t="shared" si="18"/>
        <v>67</v>
      </c>
      <c r="E19" s="146">
        <f t="shared" si="19"/>
        <v>0.61333333333332973</v>
      </c>
      <c r="F19" s="146">
        <f t="shared" si="20"/>
        <v>0.36799999999999783</v>
      </c>
      <c r="G19" s="261">
        <f t="shared" si="25"/>
        <v>67.367999999999995</v>
      </c>
      <c r="H19" s="4">
        <v>11</v>
      </c>
      <c r="I19" s="16">
        <f t="shared" si="21"/>
        <v>41375</v>
      </c>
      <c r="J19" s="6">
        <v>0.34791666666666665</v>
      </c>
      <c r="K19" s="6">
        <v>0.73991898148148139</v>
      </c>
      <c r="L19" s="5">
        <f>IF(K19&gt;0,ROUND(((K19-J19)*24)-SUM(BR19:BS19)+BT19,2)+IF(Fredagsfrokost="n",IF(WEEKDAY($I19,2)=5,IF(K19&gt;=0.5,IF(K19&lt;=13/24,0,0),0),0),0),IF(AW19&gt;0,AW19,""))</f>
        <v>9.41</v>
      </c>
      <c r="M19" s="141">
        <f>FLOOR(L19,1)</f>
        <v>9</v>
      </c>
      <c r="N19" s="141">
        <f>+L19-M19</f>
        <v>0.41000000000000014</v>
      </c>
      <c r="O19" s="141">
        <f>+N19/100*60</f>
        <v>0.24600000000000008</v>
      </c>
      <c r="P19" s="162">
        <f>IF(J19="","",O19+M19)</f>
        <v>9.2460000000000004</v>
      </c>
      <c r="Q19" s="591"/>
      <c r="R19" s="592"/>
      <c r="S19" s="592"/>
      <c r="T19" s="593"/>
      <c r="U19" s="417"/>
      <c r="V19" s="240">
        <f t="shared" si="4"/>
        <v>0</v>
      </c>
      <c r="W19" s="240">
        <f>+U19-V19</f>
        <v>0</v>
      </c>
      <c r="X19" s="240">
        <f t="shared" si="5"/>
        <v>0</v>
      </c>
      <c r="Y19" s="242">
        <f>+X19+V19</f>
        <v>0</v>
      </c>
      <c r="Z19" s="417"/>
      <c r="AA19" s="417"/>
      <c r="AB19" s="417"/>
      <c r="AC19" s="417"/>
      <c r="AD19" s="417"/>
      <c r="AE19" s="240">
        <f t="shared" si="6"/>
        <v>0</v>
      </c>
      <c r="AF19" s="240">
        <f t="shared" si="7"/>
        <v>0</v>
      </c>
      <c r="AG19" s="240">
        <f t="shared" si="8"/>
        <v>0</v>
      </c>
      <c r="AH19" s="242">
        <f t="shared" si="23"/>
        <v>0</v>
      </c>
      <c r="AI19" s="245"/>
      <c r="AJ19" s="245"/>
      <c r="AK19" s="245"/>
      <c r="AL19" s="420"/>
      <c r="AM19" s="472"/>
      <c r="AN19" s="240">
        <f t="shared" si="9"/>
        <v>0</v>
      </c>
      <c r="AO19" s="240">
        <f t="shared" si="10"/>
        <v>0</v>
      </c>
      <c r="AP19" s="240">
        <f t="shared" si="11"/>
        <v>0</v>
      </c>
      <c r="AQ19" s="242">
        <f t="shared" si="24"/>
        <v>0</v>
      </c>
      <c r="AR19" s="245"/>
      <c r="AS19" s="245"/>
      <c r="AT19" s="245"/>
      <c r="AU19" s="420"/>
      <c r="AZ19" s="189"/>
      <c r="BA19" s="189"/>
      <c r="BB19" s="189"/>
      <c r="BC19" s="189"/>
      <c r="BD19" s="189"/>
      <c r="BE19" s="189"/>
      <c r="BG19" s="145">
        <f>IF($K19&gt;=0,+SUM(L$9:$L19)-$B19+Apr!$AZ$40+SUM(AQ$9:$AQ19)," ")</f>
        <v>3.333333333401356E-3</v>
      </c>
      <c r="BH19" s="144">
        <f t="shared" si="28"/>
        <v>1</v>
      </c>
      <c r="BI19" s="146">
        <f t="shared" ref="BI19:BI39" si="30">FLOOR(BG19,BH19)</f>
        <v>0</v>
      </c>
      <c r="BJ19" s="146">
        <f t="shared" ref="BJ19:BJ39" si="31">+BG19-BI19</f>
        <v>3.333333333401356E-3</v>
      </c>
      <c r="BK19" s="146">
        <f t="shared" si="29"/>
        <v>2.0000000000408133E-3</v>
      </c>
      <c r="BL19" s="164">
        <f>IF(BN19=2,+BK19+BI19,"")</f>
        <v>2.0000000000408133E-3</v>
      </c>
      <c r="BM19" s="157">
        <f t="shared" si="26"/>
        <v>9.2460000000000004</v>
      </c>
      <c r="BN19">
        <f t="shared" si="16"/>
        <v>2</v>
      </c>
    </row>
    <row r="20" spans="1:66" ht="15.95" customHeight="1" x14ac:dyDescent="0.25">
      <c r="A20" s="83"/>
      <c r="B20" s="79">
        <f>IF($I20&lt;&gt;"",IF(WEEKDAY($I20,2)&lt;6,IF(VLOOKUP(WEEKDAY($I20,2),InputUge,3)&gt;0,IF($A20="",VLOOKUP(WEEKDAY($I20,2),InputUge,3)+MAX(B$8:B19),IF($A20&lt;VLOOKUP(WEEKDAY($I20,2),InputUge,3),$A20+MAX(B$8:B19),VLOOKUP(WEEKDAY($I20,2),InputUge,3)+MAX(B$8:B19))),""),""),"")</f>
        <v>74.013333333333335</v>
      </c>
      <c r="C20" s="144">
        <f t="shared" si="17"/>
        <v>1</v>
      </c>
      <c r="D20" s="146">
        <f t="shared" si="18"/>
        <v>74</v>
      </c>
      <c r="E20" s="146">
        <f t="shared" si="19"/>
        <v>1.3333333333335418E-2</v>
      </c>
      <c r="F20" s="146">
        <f t="shared" si="20"/>
        <v>8.0000000000012509E-3</v>
      </c>
      <c r="G20" s="261">
        <f t="shared" si="25"/>
        <v>74.007999999999996</v>
      </c>
      <c r="H20" s="4">
        <v>12</v>
      </c>
      <c r="I20" s="16">
        <f t="shared" si="21"/>
        <v>41376</v>
      </c>
      <c r="J20" s="6">
        <v>0.34791666666666665</v>
      </c>
      <c r="K20" s="6">
        <v>0.61458333333333337</v>
      </c>
      <c r="L20" s="5">
        <f>IF(K20&gt;0,ROUND(((K20-J20)*24)-SUM(BR20:BS20)+BT20,2)+IF(Fredagsfrokost="n",IF(WEEKDAY($I20,2)=5,IF(K20&gt;=0.5,IF(K20&lt;=13/24,0,0),0),0),0),IF(AW20&gt;0,AW20,""))</f>
        <v>6.4</v>
      </c>
      <c r="M20" s="141">
        <f>FLOOR(L20,1)</f>
        <v>6</v>
      </c>
      <c r="N20" s="141">
        <f>+L20-M20</f>
        <v>0.40000000000000036</v>
      </c>
      <c r="O20" s="141">
        <f>+N20/100*60</f>
        <v>0.24000000000000021</v>
      </c>
      <c r="P20" s="162">
        <f>IF(J20="","",O20+M20)</f>
        <v>6.24</v>
      </c>
      <c r="Q20" s="591"/>
      <c r="R20" s="592"/>
      <c r="S20" s="592"/>
      <c r="T20" s="593"/>
      <c r="U20" s="417"/>
      <c r="V20" s="240">
        <f t="shared" si="4"/>
        <v>0</v>
      </c>
      <c r="W20" s="240">
        <f>+U20-V20</f>
        <v>0</v>
      </c>
      <c r="X20" s="240">
        <f t="shared" si="5"/>
        <v>0</v>
      </c>
      <c r="Y20" s="242">
        <f>+X20+V20</f>
        <v>0</v>
      </c>
      <c r="Z20" s="417"/>
      <c r="AA20" s="417"/>
      <c r="AB20" s="417"/>
      <c r="AC20" s="417"/>
      <c r="AD20" s="417"/>
      <c r="AE20" s="240">
        <f t="shared" si="6"/>
        <v>0</v>
      </c>
      <c r="AF20" s="240">
        <f t="shared" si="7"/>
        <v>0</v>
      </c>
      <c r="AG20" s="240">
        <f t="shared" si="8"/>
        <v>0</v>
      </c>
      <c r="AH20" s="242">
        <f t="shared" si="23"/>
        <v>0</v>
      </c>
      <c r="AI20" s="245"/>
      <c r="AJ20" s="245"/>
      <c r="AK20" s="245"/>
      <c r="AL20" s="420"/>
      <c r="AM20" s="472"/>
      <c r="AN20" s="240">
        <f t="shared" si="9"/>
        <v>0</v>
      </c>
      <c r="AO20" s="240">
        <f t="shared" si="10"/>
        <v>0</v>
      </c>
      <c r="AP20" s="240">
        <f t="shared" si="11"/>
        <v>0</v>
      </c>
      <c r="AQ20" s="242">
        <f t="shared" si="24"/>
        <v>0</v>
      </c>
      <c r="AR20" s="245"/>
      <c r="AS20" s="245"/>
      <c r="AT20" s="245"/>
      <c r="AU20" s="420"/>
      <c r="AZ20" s="189"/>
      <c r="BA20" s="189"/>
      <c r="BB20" s="189"/>
      <c r="BC20" s="189"/>
      <c r="BD20" s="189"/>
      <c r="BE20" s="189"/>
      <c r="BG20" s="145">
        <f>IF($K20&gt;=0,+SUM(L$9:$L20)-$B20+Apr!$AZ$40+SUM(AQ$9:$AQ20)," ")</f>
        <v>3.333333333401356E-3</v>
      </c>
      <c r="BH20" s="144">
        <f t="shared" si="28"/>
        <v>1</v>
      </c>
      <c r="BI20" s="146">
        <f t="shared" si="30"/>
        <v>0</v>
      </c>
      <c r="BJ20" s="146">
        <f t="shared" si="31"/>
        <v>3.333333333401356E-3</v>
      </c>
      <c r="BK20" s="146">
        <f t="shared" si="29"/>
        <v>2.0000000000408133E-3</v>
      </c>
      <c r="BL20" s="164">
        <f>IF(BN20=2,+BK20+BI20,"")</f>
        <v>2.0000000000408133E-3</v>
      </c>
      <c r="BM20" s="157">
        <f t="shared" si="26"/>
        <v>6.24</v>
      </c>
      <c r="BN20">
        <f t="shared" si="16"/>
        <v>2</v>
      </c>
    </row>
    <row r="21" spans="1:66" s="129" customFormat="1" ht="15.95" customHeight="1" x14ac:dyDescent="0.25">
      <c r="A21" s="125"/>
      <c r="B21" s="79" t="str">
        <f>IF($I21&lt;&gt;"",IF(WEEKDAY($I21,2)&lt;6,IF(VLOOKUP(WEEKDAY($I21,2),InputUge,3)&gt;0,IF($A21="",VLOOKUP(WEEKDAY($I21,2),InputUge,3)+MAX(B$8:B20),IF($A21&lt;VLOOKUP(WEEKDAY($I21,2),InputUge,3),$A21+MAX(B$8:B20),VLOOKUP(WEEKDAY($I21,2),InputUge,3)+MAX(B$8:B20))),""),""),"")</f>
        <v/>
      </c>
      <c r="C21" s="144">
        <f t="shared" si="17"/>
        <v>1</v>
      </c>
      <c r="D21" s="146" t="e">
        <f t="shared" si="18"/>
        <v>#VALUE!</v>
      </c>
      <c r="E21" s="146" t="e">
        <f t="shared" si="19"/>
        <v>#VALUE!</v>
      </c>
      <c r="F21" s="146" t="e">
        <f t="shared" si="20"/>
        <v>#VALUE!</v>
      </c>
      <c r="G21" s="261"/>
      <c r="H21" s="378">
        <v>13</v>
      </c>
      <c r="I21" s="376">
        <f t="shared" si="21"/>
        <v>41377</v>
      </c>
      <c r="J21" s="6"/>
      <c r="K21" s="6"/>
      <c r="L21" s="5"/>
      <c r="M21" s="141"/>
      <c r="N21" s="141"/>
      <c r="O21" s="141"/>
      <c r="P21" s="162"/>
      <c r="Q21" s="639"/>
      <c r="R21" s="640"/>
      <c r="S21" s="640"/>
      <c r="T21" s="641"/>
      <c r="U21" s="417"/>
      <c r="V21" s="240">
        <f t="shared" si="4"/>
        <v>0</v>
      </c>
      <c r="W21" s="240">
        <f>+U21-V21</f>
        <v>0</v>
      </c>
      <c r="X21" s="240">
        <f t="shared" si="5"/>
        <v>0</v>
      </c>
      <c r="Y21" s="242">
        <f>+X21+V21</f>
        <v>0</v>
      </c>
      <c r="Z21" s="417"/>
      <c r="AA21" s="417"/>
      <c r="AB21" s="417"/>
      <c r="AC21" s="417"/>
      <c r="AD21" s="417"/>
      <c r="AE21" s="240">
        <f t="shared" si="6"/>
        <v>0</v>
      </c>
      <c r="AF21" s="240">
        <f t="shared" si="7"/>
        <v>0</v>
      </c>
      <c r="AG21" s="240">
        <f t="shared" si="8"/>
        <v>0</v>
      </c>
      <c r="AH21" s="242">
        <f t="shared" si="23"/>
        <v>0</v>
      </c>
      <c r="AI21" s="245"/>
      <c r="AJ21" s="245"/>
      <c r="AK21" s="245"/>
      <c r="AL21" s="420"/>
      <c r="AM21" s="472"/>
      <c r="AN21" s="240">
        <f t="shared" si="9"/>
        <v>0</v>
      </c>
      <c r="AO21" s="240">
        <f t="shared" si="10"/>
        <v>0</v>
      </c>
      <c r="AP21" s="240">
        <f t="shared" si="11"/>
        <v>0</v>
      </c>
      <c r="AQ21" s="242">
        <f t="shared" si="24"/>
        <v>0</v>
      </c>
      <c r="AR21" s="245"/>
      <c r="AS21" s="245"/>
      <c r="AT21" s="245"/>
      <c r="AU21" s="420"/>
      <c r="AZ21" s="188"/>
      <c r="BA21" s="188"/>
      <c r="BB21" s="188"/>
      <c r="BC21" s="188"/>
      <c r="BD21" s="188"/>
      <c r="BE21" s="188"/>
      <c r="BG21" s="145" t="e">
        <f>IF($K21&gt;=0,+SUM(L$9:$L21)-$B21+Apr!$AZ$40+SUM(AQ$9:$AQ21)," ")</f>
        <v>#VALUE!</v>
      </c>
      <c r="BH21" s="144" t="e">
        <f t="shared" si="28"/>
        <v>#VALUE!</v>
      </c>
      <c r="BI21" s="146" t="e">
        <f t="shared" si="30"/>
        <v>#VALUE!</v>
      </c>
      <c r="BJ21" s="146" t="e">
        <f t="shared" si="31"/>
        <v>#VALUE!</v>
      </c>
      <c r="BK21" s="146" t="e">
        <f t="shared" si="29"/>
        <v>#VALUE!</v>
      </c>
      <c r="BL21" s="164"/>
      <c r="BM21" s="157">
        <f t="shared" si="26"/>
        <v>0</v>
      </c>
      <c r="BN21">
        <f t="shared" si="16"/>
        <v>2</v>
      </c>
    </row>
    <row r="22" spans="1:66" ht="15.95" customHeight="1" x14ac:dyDescent="0.25">
      <c r="A22" s="83"/>
      <c r="B22" s="79" t="str">
        <f>IF($I22&lt;&gt;"",IF(WEEKDAY($I22,2)&lt;6,IF(VLOOKUP(WEEKDAY($I22,2),InputUge,3)&gt;0,IF($A22="",VLOOKUP(WEEKDAY($I22,2),InputUge,3)+MAX(B$8:B21),IF($A22&lt;VLOOKUP(WEEKDAY($I22,2),InputUge,3),$A22+MAX(B$8:B21),VLOOKUP(WEEKDAY($I22,2),InputUge,3)+MAX(B$8:B21))),""),""),"")</f>
        <v/>
      </c>
      <c r="C22" s="144">
        <f t="shared" si="17"/>
        <v>1</v>
      </c>
      <c r="D22" s="146" t="e">
        <f t="shared" si="18"/>
        <v>#VALUE!</v>
      </c>
      <c r="E22" s="146" t="e">
        <f t="shared" si="19"/>
        <v>#VALUE!</v>
      </c>
      <c r="F22" s="146" t="e">
        <f t="shared" si="20"/>
        <v>#VALUE!</v>
      </c>
      <c r="G22" s="261"/>
      <c r="H22" s="4">
        <v>14</v>
      </c>
      <c r="I22" s="16">
        <f t="shared" si="21"/>
        <v>41378</v>
      </c>
      <c r="J22" s="6"/>
      <c r="K22" s="6"/>
      <c r="L22" s="5"/>
      <c r="M22" s="141"/>
      <c r="N22" s="141"/>
      <c r="O22" s="141"/>
      <c r="P22" s="162"/>
      <c r="Q22" s="591"/>
      <c r="R22" s="592"/>
      <c r="S22" s="592"/>
      <c r="T22" s="593"/>
      <c r="U22" s="417"/>
      <c r="V22" s="240">
        <f t="shared" si="4"/>
        <v>0</v>
      </c>
      <c r="W22" s="240">
        <f t="shared" si="22"/>
        <v>0</v>
      </c>
      <c r="X22" s="240">
        <f t="shared" si="5"/>
        <v>0</v>
      </c>
      <c r="Y22" s="242">
        <f t="shared" si="27"/>
        <v>0</v>
      </c>
      <c r="Z22" s="417"/>
      <c r="AA22" s="417"/>
      <c r="AB22" s="417"/>
      <c r="AC22" s="417"/>
      <c r="AD22" s="417"/>
      <c r="AE22" s="240">
        <f t="shared" si="6"/>
        <v>0</v>
      </c>
      <c r="AF22" s="240">
        <f t="shared" si="7"/>
        <v>0</v>
      </c>
      <c r="AG22" s="240">
        <f t="shared" si="8"/>
        <v>0</v>
      </c>
      <c r="AH22" s="242">
        <f t="shared" si="23"/>
        <v>0</v>
      </c>
      <c r="AI22" s="245"/>
      <c r="AJ22" s="245"/>
      <c r="AK22" s="245"/>
      <c r="AL22" s="420"/>
      <c r="AM22" s="472"/>
      <c r="AN22" s="240">
        <f t="shared" si="9"/>
        <v>0</v>
      </c>
      <c r="AO22" s="240">
        <f t="shared" si="10"/>
        <v>0</v>
      </c>
      <c r="AP22" s="240">
        <f t="shared" si="11"/>
        <v>0</v>
      </c>
      <c r="AQ22" s="242">
        <f t="shared" si="24"/>
        <v>0</v>
      </c>
      <c r="AR22" s="245"/>
      <c r="AS22" s="245"/>
      <c r="AT22" s="245"/>
      <c r="AU22" s="420"/>
      <c r="AZ22" s="189"/>
      <c r="BA22" s="189"/>
      <c r="BB22" s="189"/>
      <c r="BC22" s="189"/>
      <c r="BD22" s="189"/>
      <c r="BE22" s="189"/>
      <c r="BG22" s="145" t="e">
        <f>IF($K22&gt;=0,+SUM(L$9:$L22)-$B22+Apr!$AZ$40+SUM(AQ$9:$AQ22)," ")</f>
        <v>#VALUE!</v>
      </c>
      <c r="BH22" s="144" t="e">
        <f t="shared" si="28"/>
        <v>#VALUE!</v>
      </c>
      <c r="BI22" s="146" t="e">
        <f t="shared" si="30"/>
        <v>#VALUE!</v>
      </c>
      <c r="BJ22" s="146" t="e">
        <f t="shared" si="31"/>
        <v>#VALUE!</v>
      </c>
      <c r="BK22" s="146" t="e">
        <f t="shared" si="29"/>
        <v>#VALUE!</v>
      </c>
      <c r="BL22" s="164"/>
      <c r="BM22" s="157">
        <f t="shared" si="26"/>
        <v>0</v>
      </c>
      <c r="BN22">
        <f t="shared" si="16"/>
        <v>2</v>
      </c>
    </row>
    <row r="23" spans="1:66" ht="15.95" customHeight="1" x14ac:dyDescent="0.25">
      <c r="A23" s="83"/>
      <c r="B23" s="79">
        <f>IF($I23&lt;&gt;"",IF(WEEKDAY($I23,2)&lt;6,IF(VLOOKUP(WEEKDAY($I23,2),InputUge,3)&gt;0,IF($A23="",VLOOKUP(WEEKDAY($I23,2),InputUge,3)+MAX(B$8:B22),IF($A23&lt;VLOOKUP(WEEKDAY($I23,2),InputUge,3),$A23+MAX(B$8:B22),VLOOKUP(WEEKDAY($I23,2),InputUge,3)+MAX(B$8:B22))),""),""),"")</f>
        <v>81.076666666666668</v>
      </c>
      <c r="C23" s="144">
        <f t="shared" si="17"/>
        <v>1</v>
      </c>
      <c r="D23" s="146">
        <f t="shared" si="18"/>
        <v>81</v>
      </c>
      <c r="E23" s="146">
        <f t="shared" si="19"/>
        <v>7.6666666666667993E-2</v>
      </c>
      <c r="F23" s="146">
        <f t="shared" si="20"/>
        <v>4.6000000000000797E-2</v>
      </c>
      <c r="G23" s="261">
        <f t="shared" si="25"/>
        <v>81.046000000000006</v>
      </c>
      <c r="H23" s="4">
        <v>15</v>
      </c>
      <c r="I23" s="16">
        <f t="shared" si="21"/>
        <v>41379</v>
      </c>
      <c r="J23" s="6">
        <v>0.34826388888888887</v>
      </c>
      <c r="K23" s="6">
        <v>0.64253472222222219</v>
      </c>
      <c r="L23" s="5">
        <f>IF(K23&gt;0,ROUND(((K23-J23)*24)-SUM(BR23:BS23)+BT23,2)+IF(Fredagsfrokost="n",IF(WEEKDAY($I23,2)=5,IF(K23&gt;=0.5,IF(K23&lt;=13/24,0,0),0),0),0),IF(AW23&gt;0,AW23,""))</f>
        <v>7.06</v>
      </c>
      <c r="M23" s="141">
        <f>FLOOR(L23,1)</f>
        <v>7</v>
      </c>
      <c r="N23" s="141">
        <f>+L23-M23</f>
        <v>5.9999999999999609E-2</v>
      </c>
      <c r="O23" s="141">
        <f>+N23/100*60</f>
        <v>3.5999999999999761E-2</v>
      </c>
      <c r="P23" s="162">
        <f>IF(J23="","",O23+M23)</f>
        <v>7.0359999999999996</v>
      </c>
      <c r="Q23" s="591"/>
      <c r="R23" s="592"/>
      <c r="S23" s="592"/>
      <c r="T23" s="593"/>
      <c r="U23" s="417"/>
      <c r="V23" s="240">
        <f t="shared" si="4"/>
        <v>0</v>
      </c>
      <c r="W23" s="240">
        <f t="shared" si="22"/>
        <v>0</v>
      </c>
      <c r="X23" s="240">
        <f t="shared" si="5"/>
        <v>0</v>
      </c>
      <c r="Y23" s="242">
        <f t="shared" si="27"/>
        <v>0</v>
      </c>
      <c r="Z23" s="417"/>
      <c r="AA23" s="417"/>
      <c r="AB23" s="417"/>
      <c r="AC23" s="417"/>
      <c r="AD23" s="417"/>
      <c r="AE23" s="240">
        <f t="shared" si="6"/>
        <v>0</v>
      </c>
      <c r="AF23" s="240">
        <f t="shared" si="7"/>
        <v>0</v>
      </c>
      <c r="AG23" s="240">
        <f t="shared" si="8"/>
        <v>0</v>
      </c>
      <c r="AH23" s="242">
        <f t="shared" si="23"/>
        <v>0</v>
      </c>
      <c r="AI23" s="245"/>
      <c r="AJ23" s="245"/>
      <c r="AK23" s="245"/>
      <c r="AL23" s="420"/>
      <c r="AM23" s="472"/>
      <c r="AN23" s="240">
        <f t="shared" si="9"/>
        <v>0</v>
      </c>
      <c r="AO23" s="240">
        <f t="shared" si="10"/>
        <v>0</v>
      </c>
      <c r="AP23" s="240">
        <f t="shared" si="11"/>
        <v>0</v>
      </c>
      <c r="AQ23" s="242">
        <f t="shared" si="24"/>
        <v>0</v>
      </c>
      <c r="AR23" s="245"/>
      <c r="AS23" s="245"/>
      <c r="AT23" s="245"/>
      <c r="AU23" s="420"/>
      <c r="AZ23" s="189"/>
      <c r="BA23" s="189"/>
      <c r="BB23" s="189"/>
      <c r="BC23" s="189"/>
      <c r="BD23" s="189"/>
      <c r="BE23" s="189"/>
      <c r="BG23" s="145">
        <f>IF($K23&gt;=0,+SUM(L$9:$L23)-$B23+Apr!$AZ$40+SUM(AQ$9:$AQ23)," ")</f>
        <v>7.1054273576010019E-14</v>
      </c>
      <c r="BH23" s="144">
        <f t="shared" si="28"/>
        <v>1</v>
      </c>
      <c r="BI23" s="146">
        <f t="shared" si="30"/>
        <v>0</v>
      </c>
      <c r="BJ23" s="146">
        <f t="shared" si="31"/>
        <v>7.1054273576010019E-14</v>
      </c>
      <c r="BK23" s="146">
        <f t="shared" si="29"/>
        <v>4.2632564145606011E-14</v>
      </c>
      <c r="BL23" s="164">
        <f>IF(BN23=2,+BK23+BI23,"")</f>
        <v>4.2632564145606011E-14</v>
      </c>
      <c r="BM23" s="157">
        <f t="shared" si="26"/>
        <v>7.0359999999999996</v>
      </c>
      <c r="BN23">
        <f t="shared" si="16"/>
        <v>2</v>
      </c>
    </row>
    <row r="24" spans="1:66" ht="15.95" customHeight="1" x14ac:dyDescent="0.25">
      <c r="A24" s="83"/>
      <c r="B24" s="79">
        <f>IF($I24&lt;&gt;"",IF(WEEKDAY($I24,2)&lt;6,IF(VLOOKUP(WEEKDAY($I24,2),InputUge,3)&gt;0,IF($A24="",VLOOKUP(WEEKDAY($I24,2),InputUge,3)+MAX(B$8:B23),IF($A24&lt;VLOOKUP(WEEKDAY($I24,2),InputUge,3),$A24+MAX(B$8:B23),VLOOKUP(WEEKDAY($I24,2),InputUge,3)+MAX(B$8:B23))),""),""),"")</f>
        <v>88.143333333333331</v>
      </c>
      <c r="C24" s="144">
        <f t="shared" si="17"/>
        <v>1</v>
      </c>
      <c r="D24" s="146">
        <f t="shared" si="18"/>
        <v>88</v>
      </c>
      <c r="E24" s="146">
        <f t="shared" si="19"/>
        <v>0.14333333333333087</v>
      </c>
      <c r="F24" s="146">
        <f t="shared" si="20"/>
        <v>8.5999999999998522E-2</v>
      </c>
      <c r="G24" s="261">
        <f t="shared" si="25"/>
        <v>88.085999999999999</v>
      </c>
      <c r="H24" s="4">
        <v>16</v>
      </c>
      <c r="I24" s="16">
        <f t="shared" si="21"/>
        <v>41380</v>
      </c>
      <c r="J24" s="6">
        <v>0.34826388888888887</v>
      </c>
      <c r="K24" s="6">
        <v>0.64253472222222219</v>
      </c>
      <c r="L24" s="5">
        <f>IF(K24&gt;0,ROUND(((K24-J24)*24)-SUM(BR24:BS24)+BT24,2)+IF(Fredagsfrokost="n",IF(WEEKDAY($I24,2)=5,IF(K24&gt;=0.5,IF(K24&lt;=13/24,0,0),0),0),0),IF(AW24&gt;0,AW24,""))</f>
        <v>7.06</v>
      </c>
      <c r="M24" s="141">
        <f>FLOOR(L24,1)</f>
        <v>7</v>
      </c>
      <c r="N24" s="141">
        <f>+L24-M24</f>
        <v>5.9999999999999609E-2</v>
      </c>
      <c r="O24" s="141">
        <f>+N24/100*60</f>
        <v>3.5999999999999761E-2</v>
      </c>
      <c r="P24" s="162">
        <f>IF(J24="","",O24+M24)</f>
        <v>7.0359999999999996</v>
      </c>
      <c r="Q24" s="591"/>
      <c r="R24" s="592"/>
      <c r="S24" s="592"/>
      <c r="T24" s="593"/>
      <c r="U24" s="417"/>
      <c r="V24" s="240">
        <f t="shared" si="4"/>
        <v>0</v>
      </c>
      <c r="W24" s="240">
        <f t="shared" si="22"/>
        <v>0</v>
      </c>
      <c r="X24" s="240">
        <f t="shared" si="5"/>
        <v>0</v>
      </c>
      <c r="Y24" s="242">
        <f t="shared" si="27"/>
        <v>0</v>
      </c>
      <c r="Z24" s="417"/>
      <c r="AA24" s="417"/>
      <c r="AB24" s="417"/>
      <c r="AC24" s="417"/>
      <c r="AD24" s="417"/>
      <c r="AE24" s="240">
        <f t="shared" si="6"/>
        <v>0</v>
      </c>
      <c r="AF24" s="240">
        <f t="shared" si="7"/>
        <v>0</v>
      </c>
      <c r="AG24" s="240">
        <f t="shared" si="8"/>
        <v>0</v>
      </c>
      <c r="AH24" s="242">
        <f t="shared" si="23"/>
        <v>0</v>
      </c>
      <c r="AI24" s="245"/>
      <c r="AJ24" s="245"/>
      <c r="AK24" s="245"/>
      <c r="AL24" s="420"/>
      <c r="AM24" s="472"/>
      <c r="AN24" s="240">
        <f t="shared" si="9"/>
        <v>0</v>
      </c>
      <c r="AO24" s="240">
        <f t="shared" si="10"/>
        <v>0</v>
      </c>
      <c r="AP24" s="240">
        <f t="shared" si="11"/>
        <v>0</v>
      </c>
      <c r="AQ24" s="242">
        <f t="shared" si="24"/>
        <v>0</v>
      </c>
      <c r="AR24" s="245"/>
      <c r="AS24" s="245"/>
      <c r="AT24" s="245"/>
      <c r="AU24" s="420"/>
      <c r="AZ24" s="189"/>
      <c r="BA24" s="189"/>
      <c r="BB24" s="189"/>
      <c r="BC24" s="189"/>
      <c r="BD24" s="189"/>
      <c r="BE24" s="189"/>
      <c r="BG24" s="145">
        <f>IF($K24&gt;=0,+SUM(L$9:$L24)-$B24+Apr!$AZ$40+SUM(AQ$9:$AQ24)," ")</f>
        <v>-6.6666666665895491E-3</v>
      </c>
      <c r="BH24" s="144">
        <f t="shared" si="28"/>
        <v>-1</v>
      </c>
      <c r="BI24" s="146">
        <f t="shared" si="30"/>
        <v>0</v>
      </c>
      <c r="BJ24" s="146">
        <f t="shared" si="31"/>
        <v>-6.6666666665895491E-3</v>
      </c>
      <c r="BK24" s="146">
        <f t="shared" si="29"/>
        <v>-3.9999999999537298E-3</v>
      </c>
      <c r="BL24" s="164">
        <f>IF(BN24=2,+BK24+BI24,"")</f>
        <v>-3.9999999999537298E-3</v>
      </c>
      <c r="BM24" s="157">
        <f t="shared" si="26"/>
        <v>7.0359999999999996</v>
      </c>
      <c r="BN24">
        <f t="shared" si="16"/>
        <v>2</v>
      </c>
    </row>
    <row r="25" spans="1:66" ht="15.95" customHeight="1" x14ac:dyDescent="0.25">
      <c r="A25" s="83"/>
      <c r="B25" s="79">
        <f>IF($I25&lt;&gt;"",IF(WEEKDAY($I25,2)&lt;6,IF(VLOOKUP(WEEKDAY($I25,2),InputUge,3)&gt;0,IF($A25="",VLOOKUP(WEEKDAY($I25,2),InputUge,3)+MAX(B$8:B24),IF($A25&lt;VLOOKUP(WEEKDAY($I25,2),InputUge,3),$A25+MAX(B$8:B24),VLOOKUP(WEEKDAY($I25,2),InputUge,3)+MAX(B$8:B24))),""),""),"")</f>
        <v>95.21</v>
      </c>
      <c r="C25" s="144">
        <f t="shared" si="17"/>
        <v>1</v>
      </c>
      <c r="D25" s="146">
        <f t="shared" si="18"/>
        <v>95</v>
      </c>
      <c r="E25" s="146">
        <f t="shared" si="19"/>
        <v>0.20999999999999375</v>
      </c>
      <c r="F25" s="146">
        <f t="shared" si="20"/>
        <v>0.12599999999999625</v>
      </c>
      <c r="G25" s="261">
        <f t="shared" si="25"/>
        <v>95.125999999999991</v>
      </c>
      <c r="H25" s="4">
        <v>17</v>
      </c>
      <c r="I25" s="16">
        <f t="shared" si="21"/>
        <v>41381</v>
      </c>
      <c r="J25" s="6">
        <v>0.34791666666666665</v>
      </c>
      <c r="K25" s="6">
        <v>0.64253472222222219</v>
      </c>
      <c r="L25" s="5">
        <f>IF(K25&gt;0,ROUND(((K25-J25)*24)-SUM(BR25:BS25)+BT25,2)+IF(Fredagsfrokost="n",IF(WEEKDAY($I25,2)=5,IF(K25&gt;=0.5,IF(K25&lt;=13/24,0,0),0),0),0),IF(AW25&gt;0,AW25,""))</f>
        <v>7.07</v>
      </c>
      <c r="M25" s="141">
        <f>FLOOR(L25,1)</f>
        <v>7</v>
      </c>
      <c r="N25" s="141">
        <f>+L25-M25</f>
        <v>7.0000000000000284E-2</v>
      </c>
      <c r="O25" s="141">
        <f>+N25/100*60</f>
        <v>4.2000000000000169E-2</v>
      </c>
      <c r="P25" s="162">
        <f>IF(J25="","",O25+M25)</f>
        <v>7.0419999999999998</v>
      </c>
      <c r="Q25" s="591"/>
      <c r="R25" s="592"/>
      <c r="S25" s="592"/>
      <c r="T25" s="593"/>
      <c r="U25" s="417"/>
      <c r="V25" s="240">
        <f t="shared" si="4"/>
        <v>0</v>
      </c>
      <c r="W25" s="240">
        <f t="shared" si="22"/>
        <v>0</v>
      </c>
      <c r="X25" s="240">
        <f t="shared" si="5"/>
        <v>0</v>
      </c>
      <c r="Y25" s="242">
        <f t="shared" si="27"/>
        <v>0</v>
      </c>
      <c r="Z25" s="417"/>
      <c r="AA25" s="417"/>
      <c r="AB25" s="417"/>
      <c r="AC25" s="417"/>
      <c r="AD25" s="417"/>
      <c r="AE25" s="240">
        <f t="shared" si="6"/>
        <v>0</v>
      </c>
      <c r="AF25" s="240">
        <f t="shared" si="7"/>
        <v>0</v>
      </c>
      <c r="AG25" s="240">
        <f t="shared" si="8"/>
        <v>0</v>
      </c>
      <c r="AH25" s="242">
        <f t="shared" si="23"/>
        <v>0</v>
      </c>
      <c r="AI25" s="245"/>
      <c r="AJ25" s="245"/>
      <c r="AK25" s="245"/>
      <c r="AL25" s="420"/>
      <c r="AM25" s="472"/>
      <c r="AN25" s="240">
        <f t="shared" si="9"/>
        <v>0</v>
      </c>
      <c r="AO25" s="240">
        <f t="shared" si="10"/>
        <v>0</v>
      </c>
      <c r="AP25" s="240">
        <f t="shared" si="11"/>
        <v>0</v>
      </c>
      <c r="AQ25" s="242">
        <f t="shared" si="24"/>
        <v>0</v>
      </c>
      <c r="AR25" s="245"/>
      <c r="AS25" s="245"/>
      <c r="AT25" s="245"/>
      <c r="AU25" s="420"/>
      <c r="AZ25" s="189"/>
      <c r="BA25" s="189"/>
      <c r="BB25" s="189"/>
      <c r="BC25" s="189"/>
      <c r="BD25" s="189"/>
      <c r="BE25" s="189"/>
      <c r="BG25" s="145">
        <f>IF($K25&gt;=0,+SUM(L$9:$L25)-$B25+Apr!$AZ$40+SUM(AQ$9:$AQ25)," ")</f>
        <v>-3.3333333332592474E-3</v>
      </c>
      <c r="BH25" s="144">
        <f t="shared" si="28"/>
        <v>-1</v>
      </c>
      <c r="BI25" s="146">
        <f t="shared" si="30"/>
        <v>0</v>
      </c>
      <c r="BJ25" s="146">
        <f t="shared" si="31"/>
        <v>-3.3333333332592474E-3</v>
      </c>
      <c r="BK25" s="146">
        <f t="shared" si="29"/>
        <v>-1.9999999999555482E-3</v>
      </c>
      <c r="BL25" s="164">
        <f>IF(BN25=2,+BK25+BI25,"")</f>
        <v>-1.9999999999555482E-3</v>
      </c>
      <c r="BM25" s="157">
        <f>+P25</f>
        <v>7.0419999999999998</v>
      </c>
      <c r="BN25">
        <f t="shared" si="16"/>
        <v>2</v>
      </c>
    </row>
    <row r="26" spans="1:66" ht="15.95" customHeight="1" x14ac:dyDescent="0.25">
      <c r="A26" s="83"/>
      <c r="B26" s="79">
        <f>IF($I26&lt;&gt;"",IF(WEEKDAY($I26,2)&lt;6,IF(VLOOKUP(WEEKDAY($I26,2),InputUge,3)&gt;0,IF($A26="",VLOOKUP(WEEKDAY($I26,2),InputUge,3)+MAX(B$8:B25),IF($A26&lt;VLOOKUP(WEEKDAY($I26,2),InputUge,3),$A26+MAX(B$8:B25),VLOOKUP(WEEKDAY($I26,2),InputUge,3)+MAX(B$8:B25))),""),""),"")</f>
        <v>104.61999999999999</v>
      </c>
      <c r="C26" s="144">
        <f t="shared" si="17"/>
        <v>1</v>
      </c>
      <c r="D26" s="146">
        <f t="shared" si="18"/>
        <v>104</v>
      </c>
      <c r="E26" s="146">
        <f t="shared" si="19"/>
        <v>0.61999999999999034</v>
      </c>
      <c r="F26" s="146">
        <f t="shared" si="20"/>
        <v>0.37199999999999422</v>
      </c>
      <c r="G26" s="261">
        <f t="shared" si="25"/>
        <v>104.372</v>
      </c>
      <c r="H26" s="4">
        <v>18</v>
      </c>
      <c r="I26" s="16">
        <f t="shared" si="21"/>
        <v>41382</v>
      </c>
      <c r="J26" s="6">
        <v>0.34791666666666665</v>
      </c>
      <c r="K26" s="6">
        <v>0.73991898148148139</v>
      </c>
      <c r="L26" s="5">
        <f>IF(K26&gt;0,ROUND(((K26-J26)*24)-SUM(BR26:BS26)+BT26,2)+IF(Fredagsfrokost="n",IF(WEEKDAY($I26,2)=5,IF(K26&gt;=0.5,IF(K26&lt;=13/24,0,0),0),0),0),IF(AW26&gt;0,AW26,""))</f>
        <v>9.41</v>
      </c>
      <c r="M26" s="141">
        <f>FLOOR(L26,1)</f>
        <v>9</v>
      </c>
      <c r="N26" s="141">
        <f>+L26-M26</f>
        <v>0.41000000000000014</v>
      </c>
      <c r="O26" s="141">
        <f>+N26/100*60</f>
        <v>0.24600000000000008</v>
      </c>
      <c r="P26" s="162">
        <f>IF(J26="","",O26+M26)</f>
        <v>9.2460000000000004</v>
      </c>
      <c r="Q26" s="591"/>
      <c r="R26" s="592"/>
      <c r="S26" s="592"/>
      <c r="T26" s="593"/>
      <c r="U26" s="417"/>
      <c r="V26" s="240">
        <f t="shared" si="4"/>
        <v>0</v>
      </c>
      <c r="W26" s="240">
        <f t="shared" si="22"/>
        <v>0</v>
      </c>
      <c r="X26" s="240">
        <f t="shared" si="5"/>
        <v>0</v>
      </c>
      <c r="Y26" s="242">
        <f t="shared" si="27"/>
        <v>0</v>
      </c>
      <c r="Z26" s="417"/>
      <c r="AA26" s="417"/>
      <c r="AB26" s="417"/>
      <c r="AC26" s="417"/>
      <c r="AD26" s="417"/>
      <c r="AE26" s="240">
        <f t="shared" si="6"/>
        <v>0</v>
      </c>
      <c r="AF26" s="240">
        <f t="shared" si="7"/>
        <v>0</v>
      </c>
      <c r="AG26" s="240">
        <f t="shared" si="8"/>
        <v>0</v>
      </c>
      <c r="AH26" s="242">
        <f t="shared" si="23"/>
        <v>0</v>
      </c>
      <c r="AI26" s="245"/>
      <c r="AJ26" s="245"/>
      <c r="AK26" s="245"/>
      <c r="AL26" s="420"/>
      <c r="AM26" s="472"/>
      <c r="AN26" s="240">
        <f t="shared" si="9"/>
        <v>0</v>
      </c>
      <c r="AO26" s="240">
        <f t="shared" si="10"/>
        <v>0</v>
      </c>
      <c r="AP26" s="240">
        <f t="shared" si="11"/>
        <v>0</v>
      </c>
      <c r="AQ26" s="242">
        <f t="shared" si="24"/>
        <v>0</v>
      </c>
      <c r="AR26" s="245"/>
      <c r="AS26" s="245"/>
      <c r="AT26" s="245"/>
      <c r="AU26" s="420"/>
      <c r="AZ26" s="189"/>
      <c r="BA26" s="189"/>
      <c r="BB26" s="189"/>
      <c r="BC26" s="189"/>
      <c r="BD26" s="189"/>
      <c r="BE26" s="189"/>
      <c r="BG26" s="145">
        <f>IF($K26&gt;=0,+SUM(L$9:$L26)-$B26+Apr!$AZ$40+SUM(AQ$9:$AQ26)," ")</f>
        <v>-3.3333333332592474E-3</v>
      </c>
      <c r="BH26" s="144">
        <f t="shared" si="28"/>
        <v>-1</v>
      </c>
      <c r="BI26" s="146">
        <f t="shared" si="30"/>
        <v>0</v>
      </c>
      <c r="BJ26" s="146">
        <f t="shared" si="31"/>
        <v>-3.3333333332592474E-3</v>
      </c>
      <c r="BK26" s="146">
        <f t="shared" si="29"/>
        <v>-1.9999999999555482E-3</v>
      </c>
      <c r="BL26" s="164">
        <f>IF(BN26=2,+BK26+BI26,"")</f>
        <v>-1.9999999999555482E-3</v>
      </c>
      <c r="BM26" s="157">
        <f t="shared" ref="BM26:BM38" si="32">+P26</f>
        <v>9.2460000000000004</v>
      </c>
      <c r="BN26">
        <f t="shared" si="16"/>
        <v>2</v>
      </c>
    </row>
    <row r="27" spans="1:66" ht="15.95" customHeight="1" x14ac:dyDescent="0.25">
      <c r="A27" s="83"/>
      <c r="B27" s="79">
        <f>IF($I27&lt;&gt;"",IF(WEEKDAY($I27,2)&lt;6,IF(VLOOKUP(WEEKDAY($I27,2),InputUge,3)&gt;0,IF($A27="",VLOOKUP(WEEKDAY($I27,2),InputUge,3)+MAX(B$8:B26),IF($A27&lt;VLOOKUP(WEEKDAY($I27,2),InputUge,3),$A27+MAX(B$8:B26),VLOOKUP(WEEKDAY($I27,2),InputUge,3)+MAX(B$8:B26))),""),""),"")</f>
        <v>111.02</v>
      </c>
      <c r="C27" s="144">
        <f t="shared" si="17"/>
        <v>1</v>
      </c>
      <c r="D27" s="146">
        <f t="shared" si="18"/>
        <v>111</v>
      </c>
      <c r="E27" s="146">
        <f t="shared" si="19"/>
        <v>1.9999999999996021E-2</v>
      </c>
      <c r="F27" s="146">
        <f t="shared" si="20"/>
        <v>1.1999999999997613E-2</v>
      </c>
      <c r="G27" s="261">
        <f t="shared" si="25"/>
        <v>111.012</v>
      </c>
      <c r="H27" s="4">
        <v>19</v>
      </c>
      <c r="I27" s="16">
        <f t="shared" si="21"/>
        <v>41383</v>
      </c>
      <c r="J27" s="6">
        <v>0.34791666666666665</v>
      </c>
      <c r="K27" s="6">
        <v>0.61458333333333337</v>
      </c>
      <c r="L27" s="5">
        <f>IF(K27&gt;0,ROUND(((K27-J27)*24)-SUM(BR27:BS27)+BT27,2)+IF(Fredagsfrokost="n",IF(WEEKDAY($I27,2)=5,IF(K27&gt;=0.5,IF(K27&lt;=13/24,0,0),0),0),0),IF(AW27&gt;0,AW27,""))</f>
        <v>6.4</v>
      </c>
      <c r="M27" s="141">
        <f>FLOOR(L27,1)</f>
        <v>6</v>
      </c>
      <c r="N27" s="141">
        <f>+L27-M27</f>
        <v>0.40000000000000036</v>
      </c>
      <c r="O27" s="141">
        <f>+N27/100*60</f>
        <v>0.24000000000000021</v>
      </c>
      <c r="P27" s="162">
        <f>IF(J27="","",O27+M27)</f>
        <v>6.24</v>
      </c>
      <c r="Q27" s="591"/>
      <c r="R27" s="592"/>
      <c r="S27" s="592"/>
      <c r="T27" s="593"/>
      <c r="U27" s="417"/>
      <c r="V27" s="240">
        <f t="shared" si="4"/>
        <v>0</v>
      </c>
      <c r="W27" s="240">
        <f t="shared" si="22"/>
        <v>0</v>
      </c>
      <c r="X27" s="240">
        <f t="shared" si="5"/>
        <v>0</v>
      </c>
      <c r="Y27" s="242">
        <f t="shared" si="27"/>
        <v>0</v>
      </c>
      <c r="Z27" s="417"/>
      <c r="AA27" s="417"/>
      <c r="AB27" s="417"/>
      <c r="AC27" s="417"/>
      <c r="AD27" s="417"/>
      <c r="AE27" s="240">
        <f t="shared" si="6"/>
        <v>0</v>
      </c>
      <c r="AF27" s="240">
        <f t="shared" si="7"/>
        <v>0</v>
      </c>
      <c r="AG27" s="240">
        <f t="shared" si="8"/>
        <v>0</v>
      </c>
      <c r="AH27" s="242">
        <f t="shared" si="23"/>
        <v>0</v>
      </c>
      <c r="AI27" s="245"/>
      <c r="AJ27" s="245"/>
      <c r="AK27" s="245"/>
      <c r="AL27" s="420"/>
      <c r="AM27" s="472"/>
      <c r="AN27" s="240">
        <f t="shared" si="9"/>
        <v>0</v>
      </c>
      <c r="AO27" s="240">
        <f t="shared" si="10"/>
        <v>0</v>
      </c>
      <c r="AP27" s="240">
        <f t="shared" si="11"/>
        <v>0</v>
      </c>
      <c r="AQ27" s="242">
        <f t="shared" si="24"/>
        <v>0</v>
      </c>
      <c r="AR27" s="245"/>
      <c r="AS27" s="245"/>
      <c r="AT27" s="245"/>
      <c r="AU27" s="420"/>
      <c r="AZ27" s="189"/>
      <c r="BA27" s="189"/>
      <c r="BB27" s="189"/>
      <c r="BC27" s="189"/>
      <c r="BD27" s="189"/>
      <c r="BE27" s="189"/>
      <c r="BG27" s="145">
        <f>IF($K27&gt;=0,+SUM(L$9:$L27)-$B27+Apr!$AZ$40+SUM(AQ$9:$AQ27)," ")</f>
        <v>-3.3333333332592474E-3</v>
      </c>
      <c r="BH27" s="144">
        <f t="shared" si="28"/>
        <v>-1</v>
      </c>
      <c r="BI27" s="146">
        <f t="shared" si="30"/>
        <v>0</v>
      </c>
      <c r="BJ27" s="146">
        <f t="shared" si="31"/>
        <v>-3.3333333332592474E-3</v>
      </c>
      <c r="BK27" s="146">
        <f t="shared" si="29"/>
        <v>-1.9999999999555482E-3</v>
      </c>
      <c r="BL27" s="164">
        <f>IF(BN27=2,+BK27+BI27,"")</f>
        <v>-1.9999999999555482E-3</v>
      </c>
      <c r="BM27" s="157">
        <f t="shared" si="32"/>
        <v>6.24</v>
      </c>
      <c r="BN27">
        <f t="shared" si="16"/>
        <v>2</v>
      </c>
    </row>
    <row r="28" spans="1:66" ht="15.95" customHeight="1" x14ac:dyDescent="0.25">
      <c r="A28" s="83"/>
      <c r="B28" s="79" t="str">
        <f>IF($I28&lt;&gt;"",IF(WEEKDAY($I28,2)&lt;6,IF(VLOOKUP(WEEKDAY($I28,2),InputUge,3)&gt;0,IF($A28="",VLOOKUP(WEEKDAY($I28,2),InputUge,3)+MAX(B$8:B27),IF($A28&lt;VLOOKUP(WEEKDAY($I28,2),InputUge,3),$A28+MAX(B$8:B27),VLOOKUP(WEEKDAY($I28,2),InputUge,3)+MAX(B$8:B27))),""),""),"")</f>
        <v/>
      </c>
      <c r="C28" s="144">
        <f t="shared" si="17"/>
        <v>1</v>
      </c>
      <c r="D28" s="146" t="e">
        <f t="shared" si="18"/>
        <v>#VALUE!</v>
      </c>
      <c r="E28" s="146" t="e">
        <f t="shared" si="19"/>
        <v>#VALUE!</v>
      </c>
      <c r="F28" s="146" t="e">
        <f t="shared" si="20"/>
        <v>#VALUE!</v>
      </c>
      <c r="G28" s="261"/>
      <c r="H28" s="4">
        <v>20</v>
      </c>
      <c r="I28" s="16">
        <f t="shared" si="21"/>
        <v>41384</v>
      </c>
      <c r="J28" s="6"/>
      <c r="K28" s="6"/>
      <c r="L28" s="5"/>
      <c r="M28" s="141"/>
      <c r="N28" s="141"/>
      <c r="O28" s="141"/>
      <c r="P28" s="162"/>
      <c r="Q28" s="591"/>
      <c r="R28" s="592"/>
      <c r="S28" s="592"/>
      <c r="T28" s="593"/>
      <c r="U28" s="417"/>
      <c r="V28" s="240">
        <f t="shared" si="4"/>
        <v>0</v>
      </c>
      <c r="W28" s="240">
        <f t="shared" si="22"/>
        <v>0</v>
      </c>
      <c r="X28" s="240">
        <f t="shared" si="5"/>
        <v>0</v>
      </c>
      <c r="Y28" s="242">
        <f t="shared" si="27"/>
        <v>0</v>
      </c>
      <c r="Z28" s="417"/>
      <c r="AA28" s="417"/>
      <c r="AB28" s="417"/>
      <c r="AC28" s="417"/>
      <c r="AD28" s="417"/>
      <c r="AE28" s="240">
        <f t="shared" si="6"/>
        <v>0</v>
      </c>
      <c r="AF28" s="240">
        <f t="shared" si="7"/>
        <v>0</v>
      </c>
      <c r="AG28" s="240">
        <f t="shared" si="8"/>
        <v>0</v>
      </c>
      <c r="AH28" s="242">
        <f t="shared" si="23"/>
        <v>0</v>
      </c>
      <c r="AI28" s="245"/>
      <c r="AJ28" s="245"/>
      <c r="AK28" s="245"/>
      <c r="AL28" s="420"/>
      <c r="AM28" s="472"/>
      <c r="AN28" s="240">
        <f t="shared" si="9"/>
        <v>0</v>
      </c>
      <c r="AO28" s="240">
        <f t="shared" si="10"/>
        <v>0</v>
      </c>
      <c r="AP28" s="240">
        <f t="shared" si="11"/>
        <v>0</v>
      </c>
      <c r="AQ28" s="242">
        <f t="shared" si="24"/>
        <v>0</v>
      </c>
      <c r="AR28" s="245"/>
      <c r="AS28" s="245"/>
      <c r="AT28" s="245"/>
      <c r="AU28" s="420"/>
      <c r="AZ28" s="189"/>
      <c r="BA28" s="189"/>
      <c r="BB28" s="189"/>
      <c r="BC28" s="189"/>
      <c r="BD28" s="189"/>
      <c r="BE28" s="189"/>
      <c r="BG28" s="145" t="e">
        <f>IF($K28&gt;=0,+SUM(L$9:$L28)-$B28+Apr!$AZ$40+SUM(AQ$9:$AQ28)," ")</f>
        <v>#VALUE!</v>
      </c>
      <c r="BH28" s="144" t="e">
        <f t="shared" si="28"/>
        <v>#VALUE!</v>
      </c>
      <c r="BI28" s="146" t="e">
        <f t="shared" si="30"/>
        <v>#VALUE!</v>
      </c>
      <c r="BJ28" s="146" t="e">
        <f t="shared" si="31"/>
        <v>#VALUE!</v>
      </c>
      <c r="BK28" s="146" t="e">
        <f t="shared" si="29"/>
        <v>#VALUE!</v>
      </c>
      <c r="BL28" s="164"/>
      <c r="BM28" s="157">
        <f t="shared" si="32"/>
        <v>0</v>
      </c>
      <c r="BN28">
        <f t="shared" si="16"/>
        <v>2</v>
      </c>
    </row>
    <row r="29" spans="1:66" ht="15.95" customHeight="1" x14ac:dyDescent="0.25">
      <c r="A29" s="125"/>
      <c r="B29" s="79" t="str">
        <f>IF($I29&lt;&gt;"",IF(WEEKDAY($I29,2)&lt;6,IF(VLOOKUP(WEEKDAY($I29,2),InputUge,3)&gt;0,IF($A29="",VLOOKUP(WEEKDAY($I29,2),InputUge,3)+MAX(B$8:B28),IF($A29&lt;VLOOKUP(WEEKDAY($I29,2),InputUge,3),$A29+MAX(B$8:B28),VLOOKUP(WEEKDAY($I29,2),InputUge,3)+MAX(B$8:B28))),""),""),"")</f>
        <v/>
      </c>
      <c r="C29" s="144">
        <f t="shared" si="17"/>
        <v>1</v>
      </c>
      <c r="D29" s="146" t="e">
        <f>FLOOR(B29,C29)</f>
        <v>#VALUE!</v>
      </c>
      <c r="E29" s="146" t="e">
        <f>+B29-D29</f>
        <v>#VALUE!</v>
      </c>
      <c r="F29" s="146" t="e">
        <f t="shared" si="20"/>
        <v>#VALUE!</v>
      </c>
      <c r="G29" s="261"/>
      <c r="H29" s="4">
        <v>21</v>
      </c>
      <c r="I29" s="379">
        <f t="shared" si="21"/>
        <v>41385</v>
      </c>
      <c r="J29" s="465"/>
      <c r="K29" s="465"/>
      <c r="L29" s="466" t="str">
        <f>IF(K29&gt;0,ROUND(((K29-J29)*24)-SUM(BR29:BS29)+BT29,2)+IF(Fredagsfrokost="n",IF(WEEKDAY($I29,2)=5,IF(K29&gt;=0.5,IF(K29&lt;=13/24,0,0),0),0),0),IF(AX29&gt;0,AX29,""))</f>
        <v/>
      </c>
      <c r="M29" s="141"/>
      <c r="N29" s="141"/>
      <c r="O29" s="141"/>
      <c r="P29" s="162" t="str">
        <f t="shared" ref="P29:P34" si="33">IF(J29="","",O29+M29)</f>
        <v/>
      </c>
      <c r="Q29" s="591"/>
      <c r="R29" s="592"/>
      <c r="S29" s="592"/>
      <c r="T29" s="593"/>
      <c r="U29" s="417"/>
      <c r="V29" s="240">
        <f t="shared" si="4"/>
        <v>0</v>
      </c>
      <c r="W29" s="240">
        <f t="shared" si="22"/>
        <v>0</v>
      </c>
      <c r="X29" s="240">
        <f t="shared" si="5"/>
        <v>0</v>
      </c>
      <c r="Y29" s="242">
        <f t="shared" si="27"/>
        <v>0</v>
      </c>
      <c r="Z29" s="417"/>
      <c r="AA29" s="417"/>
      <c r="AB29" s="417"/>
      <c r="AC29" s="417"/>
      <c r="AD29" s="417"/>
      <c r="AE29" s="240">
        <f t="shared" si="6"/>
        <v>0</v>
      </c>
      <c r="AF29" s="240">
        <f t="shared" si="7"/>
        <v>0</v>
      </c>
      <c r="AG29" s="240">
        <f t="shared" si="8"/>
        <v>0</v>
      </c>
      <c r="AH29" s="242">
        <f t="shared" si="23"/>
        <v>0</v>
      </c>
      <c r="AI29" s="245"/>
      <c r="AJ29" s="245"/>
      <c r="AK29" s="245"/>
      <c r="AL29" s="420"/>
      <c r="AM29" s="472"/>
      <c r="AN29" s="240">
        <f t="shared" si="9"/>
        <v>0</v>
      </c>
      <c r="AO29" s="240">
        <f t="shared" si="10"/>
        <v>0</v>
      </c>
      <c r="AP29" s="240">
        <f t="shared" si="11"/>
        <v>0</v>
      </c>
      <c r="AQ29" s="242">
        <f t="shared" si="24"/>
        <v>0</v>
      </c>
      <c r="AR29" s="245"/>
      <c r="AS29" s="245"/>
      <c r="AT29" s="245"/>
      <c r="AU29" s="420"/>
      <c r="AZ29" s="189"/>
      <c r="BA29" s="189"/>
      <c r="BB29" s="189"/>
      <c r="BC29" s="189"/>
      <c r="BD29" s="189"/>
      <c r="BE29" s="189"/>
      <c r="BG29" s="145" t="e">
        <f>IF($K29&gt;=0,+SUM(L$9:$L29)-$B29+Apr!$AZ$40+SUM(AQ$9:$AQ29)," ")</f>
        <v>#VALUE!</v>
      </c>
      <c r="BH29" s="144" t="e">
        <f t="shared" si="28"/>
        <v>#VALUE!</v>
      </c>
      <c r="BI29" s="146" t="e">
        <f t="shared" si="30"/>
        <v>#VALUE!</v>
      </c>
      <c r="BJ29" s="146" t="e">
        <f t="shared" si="31"/>
        <v>#VALUE!</v>
      </c>
      <c r="BK29" s="146" t="e">
        <f t="shared" si="29"/>
        <v>#VALUE!</v>
      </c>
      <c r="BL29" s="164" t="str">
        <f t="shared" ref="BL29:BL34" si="34">IF(BN29=2,+BK29+BI29,"")</f>
        <v/>
      </c>
      <c r="BM29" s="157" t="str">
        <f t="shared" si="32"/>
        <v/>
      </c>
      <c r="BN29">
        <f t="shared" si="16"/>
        <v>1</v>
      </c>
    </row>
    <row r="30" spans="1:66" ht="15.95" customHeight="1" x14ac:dyDescent="0.25">
      <c r="A30" s="125"/>
      <c r="B30" s="79">
        <f>IF($I30&lt;&gt;"",IF(WEEKDAY($I30,2)&lt;6,IF(VLOOKUP(WEEKDAY($I30,2),InputUge,3)&gt;0,IF($A30="",VLOOKUP(WEEKDAY($I30,2),InputUge,3)+MAX(B$8:B29),IF($A30&lt;VLOOKUP(WEEKDAY($I30,2),InputUge,3),$A30+MAX(B$8:B29),VLOOKUP(WEEKDAY($I30,2),InputUge,3)+MAX(B$8:B29))),""),""),"")</f>
        <v>118.08333333333333</v>
      </c>
      <c r="C30" s="144">
        <f t="shared" si="17"/>
        <v>1</v>
      </c>
      <c r="D30" s="146">
        <f>FLOOR(B30,C30)</f>
        <v>118</v>
      </c>
      <c r="E30" s="146">
        <f>+B30-D30</f>
        <v>8.3333333333328596E-2</v>
      </c>
      <c r="F30" s="146">
        <f t="shared" si="20"/>
        <v>4.9999999999997158E-2</v>
      </c>
      <c r="G30" s="261">
        <f t="shared" si="25"/>
        <v>118.05</v>
      </c>
      <c r="H30" s="4">
        <v>22</v>
      </c>
      <c r="I30" s="379">
        <f t="shared" si="21"/>
        <v>41386</v>
      </c>
      <c r="J30" s="6">
        <v>0.34826388888888887</v>
      </c>
      <c r="K30" s="6">
        <v>0.64236111111111105</v>
      </c>
      <c r="L30" s="5">
        <f>IF(K30&gt;0,ROUND(((K30-J30)*24)-SUM(BR30:BS30)+BT30,2)+IF(Fredagsfrokost="n",IF(WEEKDAY($I30,2)=5,IF(K30&gt;=0.5,IF(K30&lt;=13/24,0,0),0),0),0),IF(AW30&gt;0,AW30,""))</f>
        <v>7.06</v>
      </c>
      <c r="M30" s="141">
        <f>FLOOR(L30,1)</f>
        <v>7</v>
      </c>
      <c r="N30" s="141">
        <f>+L30-M30</f>
        <v>5.9999999999999609E-2</v>
      </c>
      <c r="O30" s="141">
        <f>+N30/100*60</f>
        <v>3.5999999999999761E-2</v>
      </c>
      <c r="P30" s="162">
        <f t="shared" si="33"/>
        <v>7.0359999999999996</v>
      </c>
      <c r="Q30" s="591"/>
      <c r="R30" s="592"/>
      <c r="S30" s="592"/>
      <c r="T30" s="593"/>
      <c r="U30" s="417"/>
      <c r="V30" s="240">
        <f t="shared" si="4"/>
        <v>0</v>
      </c>
      <c r="W30" s="240">
        <f t="shared" si="22"/>
        <v>0</v>
      </c>
      <c r="X30" s="240">
        <f t="shared" si="5"/>
        <v>0</v>
      </c>
      <c r="Y30" s="242">
        <f t="shared" si="27"/>
        <v>0</v>
      </c>
      <c r="Z30" s="417"/>
      <c r="AA30" s="417"/>
      <c r="AB30" s="417"/>
      <c r="AC30" s="417"/>
      <c r="AD30" s="417"/>
      <c r="AE30" s="240">
        <f t="shared" si="6"/>
        <v>0</v>
      </c>
      <c r="AF30" s="240">
        <f t="shared" si="7"/>
        <v>0</v>
      </c>
      <c r="AG30" s="240">
        <f t="shared" si="8"/>
        <v>0</v>
      </c>
      <c r="AH30" s="242">
        <f t="shared" si="23"/>
        <v>0</v>
      </c>
      <c r="AI30" s="245"/>
      <c r="AJ30" s="245"/>
      <c r="AK30" s="245"/>
      <c r="AL30" s="420"/>
      <c r="AM30" s="472"/>
      <c r="AN30" s="240">
        <f t="shared" si="9"/>
        <v>0</v>
      </c>
      <c r="AO30" s="240">
        <f t="shared" si="10"/>
        <v>0</v>
      </c>
      <c r="AP30" s="240">
        <f t="shared" si="11"/>
        <v>0</v>
      </c>
      <c r="AQ30" s="242">
        <f t="shared" si="24"/>
        <v>0</v>
      </c>
      <c r="AR30" s="245"/>
      <c r="AS30" s="245"/>
      <c r="AT30" s="245"/>
      <c r="AU30" s="420"/>
      <c r="AZ30" s="189"/>
      <c r="BA30" s="189"/>
      <c r="BB30" s="189"/>
      <c r="BC30" s="189"/>
      <c r="BD30" s="189"/>
      <c r="BE30" s="189"/>
      <c r="BG30" s="145">
        <f>IF($K30&gt;=0,+SUM(L$9:$L30)-$B30+Apr!$AZ$40+SUM(AQ$9:$AQ30)," ")</f>
        <v>-6.6666666665895491E-3</v>
      </c>
      <c r="BH30" s="144">
        <f t="shared" si="28"/>
        <v>-1</v>
      </c>
      <c r="BI30" s="146">
        <f t="shared" si="30"/>
        <v>0</v>
      </c>
      <c r="BJ30" s="146">
        <f t="shared" si="31"/>
        <v>-6.6666666665895491E-3</v>
      </c>
      <c r="BK30" s="146">
        <f t="shared" si="29"/>
        <v>-3.9999999999537298E-3</v>
      </c>
      <c r="BL30" s="164">
        <f t="shared" si="34"/>
        <v>-3.9999999999537298E-3</v>
      </c>
      <c r="BM30" s="157">
        <f t="shared" si="32"/>
        <v>7.0359999999999996</v>
      </c>
      <c r="BN30">
        <f t="shared" si="16"/>
        <v>2</v>
      </c>
    </row>
    <row r="31" spans="1:66" ht="15.95" customHeight="1" x14ac:dyDescent="0.25">
      <c r="A31" s="125"/>
      <c r="B31" s="79">
        <f>IF($I31&lt;&gt;"",IF(WEEKDAY($I31,2)&lt;6,IF(VLOOKUP(WEEKDAY($I31,2),InputUge,3)&gt;0,IF($A31="",VLOOKUP(WEEKDAY($I31,2),InputUge,3)+MAX(B$8:B30),IF($A31&lt;VLOOKUP(WEEKDAY($I31,2),InputUge,3),$A31+MAX(B$8:B30),VLOOKUP(WEEKDAY($I31,2),InputUge,3)+MAX(B$8:B30))),""),""),"")</f>
        <v>125.14999999999999</v>
      </c>
      <c r="C31" s="144">
        <f t="shared" si="17"/>
        <v>1</v>
      </c>
      <c r="D31" s="146">
        <f t="shared" si="18"/>
        <v>125</v>
      </c>
      <c r="E31" s="146">
        <f t="shared" si="19"/>
        <v>0.14999999999999147</v>
      </c>
      <c r="F31" s="146">
        <f t="shared" si="20"/>
        <v>8.999999999999489E-2</v>
      </c>
      <c r="G31" s="261">
        <f t="shared" si="25"/>
        <v>125.08999999999999</v>
      </c>
      <c r="H31" s="4">
        <v>23</v>
      </c>
      <c r="I31" s="16">
        <f t="shared" si="21"/>
        <v>41387</v>
      </c>
      <c r="J31" s="6">
        <v>0.34826388888888887</v>
      </c>
      <c r="K31" s="6">
        <v>0.64269675925925929</v>
      </c>
      <c r="L31" s="5">
        <f>IF(K31&gt;0,ROUND(((K31-J31)*24)-SUM(BR31:BS31)+BT31,2)+IF(Fredagsfrokost="n",IF(WEEKDAY($I31,2)=5,IF(K31&gt;=0.5,IF(K31&lt;=13/24,0,0),0),0),0),IF(AW31&gt;0,AW31,""))</f>
        <v>7.07</v>
      </c>
      <c r="M31" s="141">
        <f>FLOOR(L31,1)</f>
        <v>7</v>
      </c>
      <c r="N31" s="141">
        <f>+L31-M31</f>
        <v>7.0000000000000284E-2</v>
      </c>
      <c r="O31" s="141">
        <f>+N31/100*60</f>
        <v>4.2000000000000169E-2</v>
      </c>
      <c r="P31" s="162">
        <f t="shared" si="33"/>
        <v>7.0419999999999998</v>
      </c>
      <c r="Q31" s="591" t="s">
        <v>99</v>
      </c>
      <c r="R31" s="592"/>
      <c r="S31" s="592"/>
      <c r="T31" s="593"/>
      <c r="U31" s="417"/>
      <c r="V31" s="240">
        <f t="shared" si="4"/>
        <v>0</v>
      </c>
      <c r="W31" s="240">
        <f t="shared" si="22"/>
        <v>0</v>
      </c>
      <c r="X31" s="240">
        <f t="shared" si="5"/>
        <v>0</v>
      </c>
      <c r="Y31" s="242">
        <f t="shared" si="27"/>
        <v>0</v>
      </c>
      <c r="Z31" s="417"/>
      <c r="AA31" s="417"/>
      <c r="AB31" s="417"/>
      <c r="AC31" s="417"/>
      <c r="AD31" s="417"/>
      <c r="AE31" s="240">
        <f t="shared" si="6"/>
        <v>0</v>
      </c>
      <c r="AF31" s="240">
        <f t="shared" si="7"/>
        <v>0</v>
      </c>
      <c r="AG31" s="240">
        <f t="shared" si="8"/>
        <v>0</v>
      </c>
      <c r="AH31" s="242">
        <f t="shared" si="23"/>
        <v>0</v>
      </c>
      <c r="AI31" s="245"/>
      <c r="AJ31" s="245"/>
      <c r="AK31" s="245"/>
      <c r="AL31" s="420"/>
      <c r="AM31" s="472"/>
      <c r="AN31" s="240">
        <f t="shared" si="9"/>
        <v>0</v>
      </c>
      <c r="AO31" s="240">
        <f t="shared" si="10"/>
        <v>0</v>
      </c>
      <c r="AP31" s="240">
        <f t="shared" si="11"/>
        <v>0</v>
      </c>
      <c r="AQ31" s="242">
        <f t="shared" si="24"/>
        <v>0</v>
      </c>
      <c r="AR31" s="245"/>
      <c r="AS31" s="245"/>
      <c r="AT31" s="245"/>
      <c r="AU31" s="420"/>
      <c r="AZ31" s="189"/>
      <c r="BA31" s="189"/>
      <c r="BB31" s="189"/>
      <c r="BC31" s="189"/>
      <c r="BD31" s="189"/>
      <c r="BE31" s="189"/>
      <c r="BG31" s="145">
        <f>IF($K31&gt;=0,+SUM(L$9:$L31)-$B31+Apr!$AZ$40+SUM(AQ$9:$AQ31)," ")</f>
        <v>-3.3333333332592474E-3</v>
      </c>
      <c r="BH31" s="144">
        <f t="shared" si="28"/>
        <v>-1</v>
      </c>
      <c r="BI31" s="146">
        <f>FLOOR(BG31,BH31)</f>
        <v>0</v>
      </c>
      <c r="BJ31" s="146">
        <f>+BG31-BI31</f>
        <v>-3.3333333332592474E-3</v>
      </c>
      <c r="BK31" s="146">
        <f t="shared" si="29"/>
        <v>-1.9999999999555482E-3</v>
      </c>
      <c r="BL31" s="164">
        <f t="shared" si="34"/>
        <v>-1.9999999999555482E-3</v>
      </c>
      <c r="BM31" s="157">
        <f>+P31</f>
        <v>7.0419999999999998</v>
      </c>
      <c r="BN31">
        <f t="shared" si="16"/>
        <v>2</v>
      </c>
    </row>
    <row r="32" spans="1:66" ht="15.95" customHeight="1" x14ac:dyDescent="0.25">
      <c r="A32" s="125"/>
      <c r="B32" s="79">
        <f>IF($I32&lt;&gt;"",IF(WEEKDAY($I32,2)&lt;6,IF(VLOOKUP(WEEKDAY($I32,2),InputUge,3)&gt;0,IF($A32="",VLOOKUP(WEEKDAY($I32,2),InputUge,3)+MAX(B$8:B31),IF($A32&lt;VLOOKUP(WEEKDAY($I32,2),InputUge,3),$A32+MAX(B$8:B31),VLOOKUP(WEEKDAY($I32,2),InputUge,3)+MAX(B$8:B31))),""),""),"")</f>
        <v>132.21666666666667</v>
      </c>
      <c r="C32" s="144">
        <f t="shared" si="17"/>
        <v>1</v>
      </c>
      <c r="D32" s="146">
        <f t="shared" si="18"/>
        <v>132</v>
      </c>
      <c r="E32" s="146">
        <f t="shared" si="19"/>
        <v>0.21666666666666856</v>
      </c>
      <c r="F32" s="146">
        <f t="shared" si="20"/>
        <v>0.13000000000000114</v>
      </c>
      <c r="G32" s="261">
        <f t="shared" si="25"/>
        <v>132.13</v>
      </c>
      <c r="H32" s="4">
        <v>24</v>
      </c>
      <c r="I32" s="16">
        <f t="shared" si="21"/>
        <v>41388</v>
      </c>
      <c r="J32" s="6">
        <v>0.34791666666666665</v>
      </c>
      <c r="K32" s="6">
        <v>0.64236111111111105</v>
      </c>
      <c r="L32" s="5">
        <f>IF(K32&gt;0,ROUND(((K32-J32)*24)-SUM(BR32:BS32)+BT32,2)+IF(Fredagsfrokost="n",IF(WEEKDAY($I32,2)=5,IF(K32&gt;=0.5,IF(K32&lt;=13/24,0,0),0),0),0),IF(AW32&gt;0,AW32,""))</f>
        <v>7.07</v>
      </c>
      <c r="M32" s="141">
        <f>FLOOR(L32,1)</f>
        <v>7</v>
      </c>
      <c r="N32" s="141">
        <f>+L32-M32</f>
        <v>7.0000000000000284E-2</v>
      </c>
      <c r="O32" s="141">
        <f>+N32/100*60</f>
        <v>4.2000000000000169E-2</v>
      </c>
      <c r="P32" s="162">
        <f t="shared" si="33"/>
        <v>7.0419999999999998</v>
      </c>
      <c r="Q32" s="591"/>
      <c r="R32" s="592"/>
      <c r="S32" s="592"/>
      <c r="T32" s="593"/>
      <c r="U32" s="417"/>
      <c r="V32" s="240">
        <f t="shared" si="4"/>
        <v>0</v>
      </c>
      <c r="W32" s="240">
        <f t="shared" si="22"/>
        <v>0</v>
      </c>
      <c r="X32" s="240">
        <f t="shared" si="5"/>
        <v>0</v>
      </c>
      <c r="Y32" s="242">
        <f t="shared" si="27"/>
        <v>0</v>
      </c>
      <c r="Z32" s="417"/>
      <c r="AA32" s="417"/>
      <c r="AB32" s="417"/>
      <c r="AC32" s="417"/>
      <c r="AD32" s="417"/>
      <c r="AE32" s="240">
        <f t="shared" si="6"/>
        <v>0</v>
      </c>
      <c r="AF32" s="240">
        <f t="shared" si="7"/>
        <v>0</v>
      </c>
      <c r="AG32" s="240">
        <f t="shared" si="8"/>
        <v>0</v>
      </c>
      <c r="AH32" s="242">
        <f t="shared" si="23"/>
        <v>0</v>
      </c>
      <c r="AI32" s="245"/>
      <c r="AJ32" s="245"/>
      <c r="AK32" s="245"/>
      <c r="AL32" s="420"/>
      <c r="AM32" s="472"/>
      <c r="AN32" s="240">
        <f t="shared" si="9"/>
        <v>0</v>
      </c>
      <c r="AO32" s="240">
        <f t="shared" si="10"/>
        <v>0</v>
      </c>
      <c r="AP32" s="240">
        <f t="shared" si="11"/>
        <v>0</v>
      </c>
      <c r="AQ32" s="242">
        <f t="shared" si="24"/>
        <v>0</v>
      </c>
      <c r="AR32" s="245"/>
      <c r="AS32" s="245"/>
      <c r="AT32" s="245"/>
      <c r="AU32" s="420"/>
      <c r="AZ32" s="189"/>
      <c r="BA32" s="189"/>
      <c r="BB32" s="189"/>
      <c r="BC32" s="189"/>
      <c r="BD32" s="189"/>
      <c r="BE32" s="189"/>
      <c r="BG32" s="145">
        <f>IF($K32&gt;=0,+SUM(L$9:$L32)-$B32+Apr!$AZ$40+SUM(AQ$9:$AQ32)," ")</f>
        <v>5.6843418860808015E-14</v>
      </c>
      <c r="BH32" s="144">
        <f t="shared" si="28"/>
        <v>1</v>
      </c>
      <c r="BI32" s="146">
        <f t="shared" si="30"/>
        <v>0</v>
      </c>
      <c r="BJ32" s="146">
        <f t="shared" si="31"/>
        <v>5.6843418860808015E-14</v>
      </c>
      <c r="BK32" s="146">
        <f t="shared" si="29"/>
        <v>3.4106051316484808E-14</v>
      </c>
      <c r="BL32" s="164">
        <f t="shared" si="34"/>
        <v>3.4106051316484808E-14</v>
      </c>
      <c r="BM32" s="157">
        <f t="shared" si="32"/>
        <v>7.0419999999999998</v>
      </c>
      <c r="BN32">
        <f t="shared" si="16"/>
        <v>2</v>
      </c>
    </row>
    <row r="33" spans="1:67" ht="15.95" customHeight="1" x14ac:dyDescent="0.25">
      <c r="A33" s="125"/>
      <c r="B33" s="79">
        <f>IF($I33&lt;&gt;"",IF(WEEKDAY($I33,2)&lt;6,IF(VLOOKUP(WEEKDAY($I33,2),InputUge,3)&gt;0,IF($A33="",VLOOKUP(WEEKDAY($I33,2),InputUge,3)+MAX(B$8:B32),IF($A33&lt;VLOOKUP(WEEKDAY($I33,2),InputUge,3),$A33+MAX(B$8:B32),VLOOKUP(WEEKDAY($I33,2),InputUge,3)+MAX(B$8:B32))),""),""),"")</f>
        <v>141.62666666666667</v>
      </c>
      <c r="C33" s="144">
        <f t="shared" si="17"/>
        <v>1</v>
      </c>
      <c r="D33" s="146">
        <f t="shared" si="18"/>
        <v>141</v>
      </c>
      <c r="E33" s="146">
        <f t="shared" si="19"/>
        <v>0.62666666666666515</v>
      </c>
      <c r="F33" s="146">
        <f t="shared" si="20"/>
        <v>0.37599999999999906</v>
      </c>
      <c r="G33" s="261">
        <f t="shared" si="25"/>
        <v>141.376</v>
      </c>
      <c r="H33" s="378">
        <v>25</v>
      </c>
      <c r="I33" s="376">
        <f t="shared" si="21"/>
        <v>41389</v>
      </c>
      <c r="J33" s="6">
        <v>0.34791666666666665</v>
      </c>
      <c r="K33" s="6">
        <v>0.73991898148148139</v>
      </c>
      <c r="L33" s="5">
        <f>IF(K33&gt;0,ROUND(((K33-J33)*24)-SUM(BR33:BS33)+BT33,2)+IF(Fredagsfrokost="n",IF(WEEKDAY($I33,2)=5,IF(K33&gt;=0.5,IF(K33&lt;=13/24,0,0),0),0),0),IF(AW33&gt;0,AW33,""))</f>
        <v>9.41</v>
      </c>
      <c r="M33" s="141">
        <f>FLOOR(L33,1)</f>
        <v>9</v>
      </c>
      <c r="N33" s="141">
        <f>+L33-M33</f>
        <v>0.41000000000000014</v>
      </c>
      <c r="O33" s="141">
        <f>+N33/100*60</f>
        <v>0.24600000000000008</v>
      </c>
      <c r="P33" s="162">
        <f t="shared" si="33"/>
        <v>9.2460000000000004</v>
      </c>
      <c r="Q33" s="591"/>
      <c r="R33" s="592"/>
      <c r="S33" s="592"/>
      <c r="T33" s="593"/>
      <c r="U33" s="417"/>
      <c r="V33" s="240">
        <f t="shared" si="4"/>
        <v>0</v>
      </c>
      <c r="W33" s="240">
        <f t="shared" si="22"/>
        <v>0</v>
      </c>
      <c r="X33" s="240">
        <f t="shared" si="5"/>
        <v>0</v>
      </c>
      <c r="Y33" s="242">
        <f t="shared" si="27"/>
        <v>0</v>
      </c>
      <c r="Z33" s="417"/>
      <c r="AA33" s="417"/>
      <c r="AB33" s="417"/>
      <c r="AC33" s="417"/>
      <c r="AD33" s="417"/>
      <c r="AE33" s="240">
        <f t="shared" si="6"/>
        <v>0</v>
      </c>
      <c r="AF33" s="240">
        <f t="shared" si="7"/>
        <v>0</v>
      </c>
      <c r="AG33" s="240">
        <f t="shared" si="8"/>
        <v>0</v>
      </c>
      <c r="AH33" s="242">
        <f t="shared" si="23"/>
        <v>0</v>
      </c>
      <c r="AI33" s="245"/>
      <c r="AJ33" s="245"/>
      <c r="AK33" s="245"/>
      <c r="AL33" s="420"/>
      <c r="AM33" s="472"/>
      <c r="AN33" s="240">
        <f t="shared" si="9"/>
        <v>0</v>
      </c>
      <c r="AO33" s="240">
        <f t="shared" si="10"/>
        <v>0</v>
      </c>
      <c r="AP33" s="240">
        <f t="shared" si="11"/>
        <v>0</v>
      </c>
      <c r="AQ33" s="242">
        <f t="shared" si="24"/>
        <v>0</v>
      </c>
      <c r="AR33" s="245"/>
      <c r="AS33" s="245"/>
      <c r="AT33" s="245"/>
      <c r="AU33" s="420"/>
      <c r="AZ33" s="189"/>
      <c r="BA33" s="189"/>
      <c r="BB33" s="189"/>
      <c r="BC33" s="189"/>
      <c r="BD33" s="189"/>
      <c r="BE33" s="189"/>
      <c r="BG33" s="145">
        <f>IF($K33&gt;=0,+SUM(L$9:$L33)-$B33+Apr!$AZ$40+SUM(AQ$9:$AQ33)," ")</f>
        <v>5.6843418860808015E-14</v>
      </c>
      <c r="BH33" s="144">
        <f t="shared" si="28"/>
        <v>1</v>
      </c>
      <c r="BI33" s="146">
        <f t="shared" si="30"/>
        <v>0</v>
      </c>
      <c r="BJ33" s="146">
        <f t="shared" si="31"/>
        <v>5.6843418860808015E-14</v>
      </c>
      <c r="BK33" s="146">
        <f t="shared" si="29"/>
        <v>3.4106051316484808E-14</v>
      </c>
      <c r="BL33" s="164">
        <f t="shared" si="34"/>
        <v>3.4106051316484808E-14</v>
      </c>
      <c r="BM33" s="157">
        <f t="shared" si="32"/>
        <v>9.2460000000000004</v>
      </c>
      <c r="BN33">
        <f t="shared" si="16"/>
        <v>2</v>
      </c>
    </row>
    <row r="34" spans="1:67" ht="15.95" customHeight="1" x14ac:dyDescent="0.25">
      <c r="A34" s="83"/>
      <c r="B34" s="79">
        <f>IF($I34&lt;&gt;"",IF(WEEKDAY($I34,2)&lt;6,IF(VLOOKUP(WEEKDAY($I34,2),InputUge,3)&gt;0,IF($A34="",VLOOKUP(WEEKDAY($I34,2),InputUge,3)+MAX(B$8:B33),IF($A34&lt;VLOOKUP(WEEKDAY($I34,2),InputUge,3),$A34+MAX(B$8:B33),VLOOKUP(WEEKDAY($I34,2),InputUge,3)+MAX(B$8:B33))),""),""),"")</f>
        <v>148.02666666666667</v>
      </c>
      <c r="C34" s="144">
        <f t="shared" si="17"/>
        <v>1</v>
      </c>
      <c r="D34" s="146">
        <f t="shared" si="18"/>
        <v>148</v>
      </c>
      <c r="E34" s="146">
        <f t="shared" si="19"/>
        <v>2.6666666666670835E-2</v>
      </c>
      <c r="F34" s="146">
        <f t="shared" si="20"/>
        <v>1.6000000000002502E-2</v>
      </c>
      <c r="G34" s="261">
        <f t="shared" si="25"/>
        <v>148.01599999999999</v>
      </c>
      <c r="H34" s="4">
        <v>26</v>
      </c>
      <c r="I34" s="16">
        <f t="shared" si="21"/>
        <v>41390</v>
      </c>
      <c r="J34" s="6">
        <v>0.34791666666666665</v>
      </c>
      <c r="K34" s="6">
        <v>0.61458333333333337</v>
      </c>
      <c r="L34" s="5">
        <f>IF(K34&gt;0,ROUND(((K34-J34)*24)-SUM(BR34:BS34)+BT34,2)+IF(Fredagsfrokost="n",IF(WEEKDAY($I34,2)=5,IF(K34&gt;=0.5,IF(K34&lt;=13/24,0,0),0),0),0),IF(AW34&gt;0,AW34,""))</f>
        <v>6.4</v>
      </c>
      <c r="M34" s="141">
        <f>FLOOR(L34,1)</f>
        <v>6</v>
      </c>
      <c r="N34" s="141">
        <f>+L34-M34</f>
        <v>0.40000000000000036</v>
      </c>
      <c r="O34" s="141">
        <f>+N34/100*60</f>
        <v>0.24000000000000021</v>
      </c>
      <c r="P34" s="162">
        <f t="shared" si="33"/>
        <v>6.24</v>
      </c>
      <c r="Q34" s="591"/>
      <c r="R34" s="592"/>
      <c r="S34" s="592"/>
      <c r="T34" s="593"/>
      <c r="U34" s="417"/>
      <c r="V34" s="240">
        <f t="shared" si="4"/>
        <v>0</v>
      </c>
      <c r="W34" s="240">
        <f t="shared" si="22"/>
        <v>0</v>
      </c>
      <c r="X34" s="240">
        <f t="shared" si="5"/>
        <v>0</v>
      </c>
      <c r="Y34" s="242">
        <f t="shared" si="27"/>
        <v>0</v>
      </c>
      <c r="Z34" s="417"/>
      <c r="AA34" s="417"/>
      <c r="AB34" s="417"/>
      <c r="AC34" s="417"/>
      <c r="AD34" s="417"/>
      <c r="AE34" s="240">
        <f t="shared" si="6"/>
        <v>0</v>
      </c>
      <c r="AF34" s="240">
        <f t="shared" si="7"/>
        <v>0</v>
      </c>
      <c r="AG34" s="240">
        <f t="shared" si="8"/>
        <v>0</v>
      </c>
      <c r="AH34" s="242">
        <f t="shared" si="23"/>
        <v>0</v>
      </c>
      <c r="AI34" s="245"/>
      <c r="AJ34" s="245"/>
      <c r="AK34" s="245"/>
      <c r="AL34" s="420"/>
      <c r="AM34" s="472"/>
      <c r="AN34" s="240">
        <f t="shared" si="9"/>
        <v>0</v>
      </c>
      <c r="AO34" s="240">
        <f t="shared" si="10"/>
        <v>0</v>
      </c>
      <c r="AP34" s="240">
        <f t="shared" si="11"/>
        <v>0</v>
      </c>
      <c r="AQ34" s="242">
        <f t="shared" si="24"/>
        <v>0</v>
      </c>
      <c r="AR34" s="245"/>
      <c r="AS34" s="245"/>
      <c r="AT34" s="245"/>
      <c r="AU34" s="420"/>
      <c r="AZ34" s="189"/>
      <c r="BA34" s="189"/>
      <c r="BB34" s="189"/>
      <c r="BC34" s="189"/>
      <c r="BD34" s="189"/>
      <c r="BE34" s="189"/>
      <c r="BG34" s="145">
        <f>IF($K34&gt;=0,+SUM(L$9:$L34)-$B34+Apr!$AZ$40+SUM(AQ$9:$AQ34)," ")</f>
        <v>5.6843418860808015E-14</v>
      </c>
      <c r="BH34" s="144">
        <f t="shared" si="28"/>
        <v>1</v>
      </c>
      <c r="BI34" s="146">
        <f t="shared" si="30"/>
        <v>0</v>
      </c>
      <c r="BJ34" s="146">
        <f t="shared" si="31"/>
        <v>5.6843418860808015E-14</v>
      </c>
      <c r="BK34" s="146">
        <f t="shared" si="29"/>
        <v>3.4106051316484808E-14</v>
      </c>
      <c r="BL34" s="164">
        <f t="shared" si="34"/>
        <v>3.4106051316484808E-14</v>
      </c>
      <c r="BM34" s="157">
        <f t="shared" si="32"/>
        <v>6.24</v>
      </c>
      <c r="BN34">
        <f t="shared" si="16"/>
        <v>2</v>
      </c>
    </row>
    <row r="35" spans="1:67" ht="15.95" customHeight="1" x14ac:dyDescent="0.25">
      <c r="A35" s="83"/>
      <c r="B35" s="79" t="str">
        <f>IF($I35&lt;&gt;"",IF(WEEKDAY($I35,2)&lt;6,IF(VLOOKUP(WEEKDAY($I35,2),InputUge,3)&gt;0,IF($A35="",VLOOKUP(WEEKDAY($I35,2),InputUge,3)+MAX(B$8:B34),IF($A35&lt;VLOOKUP(WEEKDAY($I35,2),InputUge,3),$A35+MAX(B$8:B34),VLOOKUP(WEEKDAY($I35,2),InputUge,3)+MAX(B$8:B34))),""),""),"")</f>
        <v/>
      </c>
      <c r="C35" s="144">
        <f t="shared" si="17"/>
        <v>1</v>
      </c>
      <c r="D35" s="146" t="e">
        <f t="shared" si="18"/>
        <v>#VALUE!</v>
      </c>
      <c r="E35" s="146" t="e">
        <f t="shared" si="19"/>
        <v>#VALUE!</v>
      </c>
      <c r="F35" s="146" t="e">
        <f t="shared" si="20"/>
        <v>#VALUE!</v>
      </c>
      <c r="G35" s="261"/>
      <c r="H35" s="4">
        <v>27</v>
      </c>
      <c r="I35" s="16">
        <f t="shared" si="21"/>
        <v>41391</v>
      </c>
      <c r="J35" s="6"/>
      <c r="K35" s="6"/>
      <c r="L35" s="5"/>
      <c r="M35" s="141"/>
      <c r="N35" s="141"/>
      <c r="O35" s="141"/>
      <c r="P35" s="162"/>
      <c r="Q35" s="591"/>
      <c r="R35" s="592"/>
      <c r="S35" s="592"/>
      <c r="T35" s="593"/>
      <c r="U35" s="417"/>
      <c r="V35" s="240">
        <f t="shared" si="4"/>
        <v>0</v>
      </c>
      <c r="W35" s="240">
        <f t="shared" si="22"/>
        <v>0</v>
      </c>
      <c r="X35" s="240">
        <f t="shared" si="5"/>
        <v>0</v>
      </c>
      <c r="Y35" s="242">
        <f t="shared" si="27"/>
        <v>0</v>
      </c>
      <c r="Z35" s="417"/>
      <c r="AA35" s="417"/>
      <c r="AB35" s="417"/>
      <c r="AC35" s="417"/>
      <c r="AD35" s="417"/>
      <c r="AE35" s="240">
        <f t="shared" si="6"/>
        <v>0</v>
      </c>
      <c r="AF35" s="240">
        <f t="shared" si="7"/>
        <v>0</v>
      </c>
      <c r="AG35" s="240">
        <f t="shared" si="8"/>
        <v>0</v>
      </c>
      <c r="AH35" s="242">
        <f t="shared" si="23"/>
        <v>0</v>
      </c>
      <c r="AI35" s="245"/>
      <c r="AJ35" s="245"/>
      <c r="AK35" s="245"/>
      <c r="AL35" s="420"/>
      <c r="AM35" s="472"/>
      <c r="AN35" s="240">
        <f t="shared" si="9"/>
        <v>0</v>
      </c>
      <c r="AO35" s="240">
        <f t="shared" si="10"/>
        <v>0</v>
      </c>
      <c r="AP35" s="240">
        <f t="shared" si="11"/>
        <v>0</v>
      </c>
      <c r="AQ35" s="242">
        <f t="shared" si="24"/>
        <v>0</v>
      </c>
      <c r="AR35" s="245"/>
      <c r="AS35" s="245"/>
      <c r="AT35" s="245"/>
      <c r="AU35" s="420"/>
      <c r="AZ35" s="189"/>
      <c r="BA35" s="189"/>
      <c r="BB35" s="189"/>
      <c r="BC35" s="189"/>
      <c r="BD35" s="189"/>
      <c r="BE35" s="189"/>
      <c r="BG35" s="145" t="e">
        <f>IF($K35&gt;=0,+SUM(L$9:$L35)-$B35+Apr!$AZ$40+SUM(AQ$9:$AQ35)," ")</f>
        <v>#VALUE!</v>
      </c>
      <c r="BH35" s="144" t="e">
        <f t="shared" si="28"/>
        <v>#VALUE!</v>
      </c>
      <c r="BI35" s="146" t="e">
        <f t="shared" si="30"/>
        <v>#VALUE!</v>
      </c>
      <c r="BJ35" s="146" t="e">
        <f t="shared" si="31"/>
        <v>#VALUE!</v>
      </c>
      <c r="BK35" s="146" t="e">
        <f t="shared" si="29"/>
        <v>#VALUE!</v>
      </c>
      <c r="BL35" s="164"/>
      <c r="BM35" s="157">
        <f t="shared" si="32"/>
        <v>0</v>
      </c>
      <c r="BN35">
        <f t="shared" si="16"/>
        <v>2</v>
      </c>
    </row>
    <row r="36" spans="1:67" ht="15.95" customHeight="1" x14ac:dyDescent="0.25">
      <c r="A36" s="83"/>
      <c r="B36" s="79" t="str">
        <f>IF($I36&lt;&gt;"",IF(WEEKDAY($I36,2)&lt;6,IF(VLOOKUP(WEEKDAY($I36,2),InputUge,3)&gt;0,IF($A36="",VLOOKUP(WEEKDAY($I36,2),InputUge,3)+MAX(B$8:B35),IF($A36&lt;VLOOKUP(WEEKDAY($I36,2),InputUge,3),$A36+MAX(B$8:B35),VLOOKUP(WEEKDAY($I36,2),InputUge,3)+MAX(B$8:B35))),""),""),"")</f>
        <v/>
      </c>
      <c r="C36" s="144">
        <f t="shared" si="17"/>
        <v>1</v>
      </c>
      <c r="D36" s="146" t="e">
        <f t="shared" si="18"/>
        <v>#VALUE!</v>
      </c>
      <c r="E36" s="146" t="e">
        <f t="shared" si="19"/>
        <v>#VALUE!</v>
      </c>
      <c r="F36" s="146" t="e">
        <f t="shared" si="20"/>
        <v>#VALUE!</v>
      </c>
      <c r="G36" s="261"/>
      <c r="H36" s="4">
        <v>28</v>
      </c>
      <c r="I36" s="16">
        <f t="shared" si="21"/>
        <v>41392</v>
      </c>
      <c r="J36" s="6"/>
      <c r="K36" s="6"/>
      <c r="L36" s="5"/>
      <c r="M36" s="141"/>
      <c r="N36" s="141"/>
      <c r="O36" s="141"/>
      <c r="P36" s="162"/>
      <c r="Q36" s="591"/>
      <c r="R36" s="592"/>
      <c r="S36" s="592"/>
      <c r="T36" s="593"/>
      <c r="U36" s="417"/>
      <c r="V36" s="240">
        <f t="shared" si="4"/>
        <v>0</v>
      </c>
      <c r="W36" s="240">
        <f t="shared" si="22"/>
        <v>0</v>
      </c>
      <c r="X36" s="240">
        <f t="shared" si="5"/>
        <v>0</v>
      </c>
      <c r="Y36" s="242">
        <f t="shared" si="27"/>
        <v>0</v>
      </c>
      <c r="Z36" s="417"/>
      <c r="AA36" s="417"/>
      <c r="AB36" s="417"/>
      <c r="AC36" s="417"/>
      <c r="AD36" s="417"/>
      <c r="AE36" s="240">
        <f t="shared" si="6"/>
        <v>0</v>
      </c>
      <c r="AF36" s="240">
        <f t="shared" si="7"/>
        <v>0</v>
      </c>
      <c r="AG36" s="240">
        <f t="shared" si="8"/>
        <v>0</v>
      </c>
      <c r="AH36" s="242">
        <f t="shared" si="23"/>
        <v>0</v>
      </c>
      <c r="AI36" s="245"/>
      <c r="AJ36" s="245"/>
      <c r="AK36" s="245"/>
      <c r="AL36" s="420"/>
      <c r="AM36" s="472"/>
      <c r="AN36" s="240">
        <f t="shared" si="9"/>
        <v>0</v>
      </c>
      <c r="AO36" s="240">
        <f t="shared" si="10"/>
        <v>0</v>
      </c>
      <c r="AP36" s="240">
        <f t="shared" si="11"/>
        <v>0</v>
      </c>
      <c r="AQ36" s="242">
        <f t="shared" si="24"/>
        <v>0</v>
      </c>
      <c r="AR36" s="245"/>
      <c r="AS36" s="245"/>
      <c r="AT36" s="245"/>
      <c r="AU36" s="420"/>
      <c r="AZ36" s="189"/>
      <c r="BA36" s="189"/>
      <c r="BB36" s="189"/>
      <c r="BC36" s="189"/>
      <c r="BD36" s="189"/>
      <c r="BE36" s="189"/>
      <c r="BG36" s="145" t="e">
        <f>IF($K36&gt;=0,+SUM(L$9:$L36)-$B36+Apr!$AZ$40+SUM(AQ$9:$AQ36)," ")</f>
        <v>#VALUE!</v>
      </c>
      <c r="BH36" s="144" t="e">
        <f t="shared" si="28"/>
        <v>#VALUE!</v>
      </c>
      <c r="BI36" s="146" t="e">
        <f t="shared" si="30"/>
        <v>#VALUE!</v>
      </c>
      <c r="BJ36" s="146" t="e">
        <f t="shared" si="31"/>
        <v>#VALUE!</v>
      </c>
      <c r="BK36" s="146" t="e">
        <f t="shared" si="29"/>
        <v>#VALUE!</v>
      </c>
      <c r="BL36" s="164"/>
      <c r="BM36" s="157">
        <f t="shared" si="32"/>
        <v>0</v>
      </c>
      <c r="BN36">
        <f t="shared" si="16"/>
        <v>2</v>
      </c>
    </row>
    <row r="37" spans="1:67" ht="15.95" customHeight="1" x14ac:dyDescent="0.25">
      <c r="A37" s="83"/>
      <c r="B37" s="79">
        <f>IF($I37&lt;&gt;"",IF(WEEKDAY($I37,2)&lt;6,IF(VLOOKUP(WEEKDAY($I37,2),InputUge,3)&gt;0,IF($A37="",VLOOKUP(WEEKDAY($I37,2),InputUge,3)+MAX(B$8:B36),IF($A37&lt;VLOOKUP(WEEKDAY($I37,2),InputUge,3),$A37+MAX(B$8:B36),VLOOKUP(WEEKDAY($I37,2),InputUge,3)+MAX(B$8:B36))),""),""),"")</f>
        <v>155.09</v>
      </c>
      <c r="C37" s="144">
        <f t="shared" si="17"/>
        <v>1</v>
      </c>
      <c r="D37" s="146">
        <f t="shared" si="18"/>
        <v>155</v>
      </c>
      <c r="E37" s="146">
        <f t="shared" si="19"/>
        <v>9.0000000000003411E-2</v>
      </c>
      <c r="F37" s="146">
        <f t="shared" si="20"/>
        <v>5.4000000000002046E-2</v>
      </c>
      <c r="G37" s="261">
        <f t="shared" si="25"/>
        <v>155.054</v>
      </c>
      <c r="H37" s="4">
        <v>29</v>
      </c>
      <c r="I37" s="16">
        <f t="shared" si="21"/>
        <v>41393</v>
      </c>
      <c r="J37" s="6">
        <v>0.34826388888888887</v>
      </c>
      <c r="K37" s="6">
        <v>0.64236111111111105</v>
      </c>
      <c r="L37" s="5">
        <f>IF(K37&gt;0,ROUND(((K37-J37)*24)-SUM(BR37:BS37)+BT37,2)+IF(Fredagsfrokost="n",IF(WEEKDAY($I37,2)=5,IF(K37&gt;=0.5,IF(K37&lt;=13/24,0,0),0),0),0),IF(AW37&gt;0,AW37,""))</f>
        <v>7.06</v>
      </c>
      <c r="M37" s="141">
        <f>FLOOR(L37,1)</f>
        <v>7</v>
      </c>
      <c r="N37" s="141">
        <f>+L37-M37</f>
        <v>5.9999999999999609E-2</v>
      </c>
      <c r="O37" s="141">
        <f>+N37/100*60</f>
        <v>3.5999999999999761E-2</v>
      </c>
      <c r="P37" s="162">
        <f>IF(J37="","",O37+M37)</f>
        <v>7.0359999999999996</v>
      </c>
      <c r="Q37" s="591"/>
      <c r="R37" s="592"/>
      <c r="S37" s="592"/>
      <c r="T37" s="593"/>
      <c r="U37" s="417"/>
      <c r="V37" s="240">
        <f t="shared" si="4"/>
        <v>0</v>
      </c>
      <c r="W37" s="240">
        <f t="shared" si="22"/>
        <v>0</v>
      </c>
      <c r="X37" s="240">
        <f t="shared" si="5"/>
        <v>0</v>
      </c>
      <c r="Y37" s="242">
        <f t="shared" si="27"/>
        <v>0</v>
      </c>
      <c r="Z37" s="417"/>
      <c r="AA37" s="417"/>
      <c r="AB37" s="417"/>
      <c r="AC37" s="417"/>
      <c r="AD37" s="417"/>
      <c r="AE37" s="240">
        <f t="shared" si="6"/>
        <v>0</v>
      </c>
      <c r="AF37" s="240">
        <f t="shared" si="7"/>
        <v>0</v>
      </c>
      <c r="AG37" s="240">
        <f t="shared" si="8"/>
        <v>0</v>
      </c>
      <c r="AH37" s="242">
        <f t="shared" si="23"/>
        <v>0</v>
      </c>
      <c r="AI37" s="245"/>
      <c r="AJ37" s="245"/>
      <c r="AK37" s="245"/>
      <c r="AL37" s="420"/>
      <c r="AM37" s="472"/>
      <c r="AN37" s="240">
        <f t="shared" si="9"/>
        <v>0</v>
      </c>
      <c r="AO37" s="240">
        <f t="shared" si="10"/>
        <v>0</v>
      </c>
      <c r="AP37" s="240">
        <f t="shared" si="11"/>
        <v>0</v>
      </c>
      <c r="AQ37" s="242">
        <f t="shared" si="24"/>
        <v>0</v>
      </c>
      <c r="AR37" s="245"/>
      <c r="AS37" s="245"/>
      <c r="AT37" s="245"/>
      <c r="AU37" s="420"/>
      <c r="AZ37" s="189"/>
      <c r="BA37" s="189"/>
      <c r="BB37" s="189"/>
      <c r="BC37" s="189"/>
      <c r="BD37" s="189"/>
      <c r="BE37" s="189"/>
      <c r="BG37" s="145">
        <f>IF($K37&gt;=0,+SUM(L$9:$L37)-$B37+Apr!$AZ$40+SUM(AQ$9:$AQ37)," ")</f>
        <v>-3.3333333332734583E-3</v>
      </c>
      <c r="BH37" s="144">
        <f t="shared" si="28"/>
        <v>-1</v>
      </c>
      <c r="BI37" s="146">
        <f t="shared" si="30"/>
        <v>0</v>
      </c>
      <c r="BJ37" s="146">
        <f t="shared" si="31"/>
        <v>-3.3333333332734583E-3</v>
      </c>
      <c r="BK37" s="146">
        <f t="shared" si="29"/>
        <v>-1.9999999999640752E-3</v>
      </c>
      <c r="BL37" s="164">
        <f>IF(BN37=2,+BK37+BI37,"")</f>
        <v>-1.9999999999640752E-3</v>
      </c>
      <c r="BM37" s="157">
        <f t="shared" si="32"/>
        <v>7.0359999999999996</v>
      </c>
      <c r="BN37">
        <f t="shared" si="16"/>
        <v>2</v>
      </c>
    </row>
    <row r="38" spans="1:67" ht="15.95" customHeight="1" thickBot="1" x14ac:dyDescent="0.3">
      <c r="A38" s="125"/>
      <c r="B38" s="79">
        <f>IF($I38&lt;&gt;"",IF(WEEKDAY($I38,2)&lt;6,IF(VLOOKUP(WEEKDAY($I38,2),InputUge,3)&gt;0,IF($A38="",VLOOKUP(WEEKDAY($I38,2),InputUge,3)+MAX(B$8:B37),IF($A38&lt;VLOOKUP(WEEKDAY($I38,2),InputUge,3),$A38+MAX(B$8:B37),VLOOKUP(WEEKDAY($I38,2),InputUge,3)+MAX(B$8:B37))),""),""),"")</f>
        <v>162.15666666666667</v>
      </c>
      <c r="C38" s="144">
        <f t="shared" si="17"/>
        <v>1</v>
      </c>
      <c r="D38" s="146">
        <f t="shared" si="18"/>
        <v>162</v>
      </c>
      <c r="E38" s="146">
        <f t="shared" si="19"/>
        <v>0.15666666666666629</v>
      </c>
      <c r="F38" s="146">
        <f t="shared" si="20"/>
        <v>9.3999999999999764E-2</v>
      </c>
      <c r="G38" s="261">
        <f t="shared" si="25"/>
        <v>162.09399999999999</v>
      </c>
      <c r="H38" s="88">
        <v>30</v>
      </c>
      <c r="I38" s="89">
        <f t="shared" si="21"/>
        <v>41394</v>
      </c>
      <c r="J38" s="6">
        <v>0.34826388888888887</v>
      </c>
      <c r="K38" s="6">
        <v>0.64265046296296291</v>
      </c>
      <c r="L38" s="5">
        <f>IF(K38&gt;0,ROUND(((K38-J38)*24)-SUM(BR38:BS38)+BT38,2)+IF(Fredagsfrokost="n",IF(WEEKDAY($I38,2)=5,IF(K38&gt;=0.5,IF(K38&lt;=13/24,0,0),0),0),0),IF(AW38&gt;0,AW38,""))</f>
        <v>7.07</v>
      </c>
      <c r="M38" s="141">
        <f>FLOOR(L38,1)</f>
        <v>7</v>
      </c>
      <c r="N38" s="141">
        <f>+L38-M38</f>
        <v>7.0000000000000284E-2</v>
      </c>
      <c r="O38" s="141">
        <f>+N38/100*60</f>
        <v>4.2000000000000169E-2</v>
      </c>
      <c r="P38" s="162">
        <f>IF(J38="","",O38+M38)</f>
        <v>7.0419999999999998</v>
      </c>
      <c r="Q38" s="591"/>
      <c r="R38" s="592"/>
      <c r="S38" s="592"/>
      <c r="T38" s="593"/>
      <c r="U38" s="417"/>
      <c r="V38" s="240">
        <f t="shared" si="4"/>
        <v>0</v>
      </c>
      <c r="W38" s="240">
        <f t="shared" si="22"/>
        <v>0</v>
      </c>
      <c r="X38" s="240">
        <f t="shared" si="5"/>
        <v>0</v>
      </c>
      <c r="Y38" s="242">
        <f t="shared" si="27"/>
        <v>0</v>
      </c>
      <c r="Z38" s="417"/>
      <c r="AA38" s="417"/>
      <c r="AB38" s="417"/>
      <c r="AC38" s="417"/>
      <c r="AD38" s="417"/>
      <c r="AE38" s="240">
        <f t="shared" si="6"/>
        <v>0</v>
      </c>
      <c r="AF38" s="240">
        <f t="shared" si="7"/>
        <v>0</v>
      </c>
      <c r="AG38" s="240">
        <f t="shared" si="8"/>
        <v>0</v>
      </c>
      <c r="AH38" s="242">
        <f t="shared" si="23"/>
        <v>0</v>
      </c>
      <c r="AI38" s="245"/>
      <c r="AJ38" s="245"/>
      <c r="AK38" s="245"/>
      <c r="AL38" s="420"/>
      <c r="AM38" s="472"/>
      <c r="AN38" s="240">
        <f t="shared" si="9"/>
        <v>0</v>
      </c>
      <c r="AO38" s="240">
        <f t="shared" si="10"/>
        <v>0</v>
      </c>
      <c r="AP38" s="240">
        <f t="shared" si="11"/>
        <v>0</v>
      </c>
      <c r="AQ38" s="242">
        <f t="shared" si="24"/>
        <v>0</v>
      </c>
      <c r="AR38" s="245"/>
      <c r="AS38" s="245"/>
      <c r="AT38" s="245"/>
      <c r="AU38" s="420"/>
      <c r="AZ38" s="189"/>
      <c r="BA38" s="189"/>
      <c r="BB38" s="189"/>
      <c r="BC38" s="189"/>
      <c r="BD38" s="189"/>
      <c r="BE38" s="189"/>
      <c r="BG38" s="145">
        <f>IF($K38&gt;=0,+SUM(L$9:$L38)-$B38+Apr!$AZ$40+SUM(AQ$9:$AQ38)," ")</f>
        <v>5.6843418860808015E-14</v>
      </c>
      <c r="BH38" s="144">
        <f t="shared" si="28"/>
        <v>1</v>
      </c>
      <c r="BI38" s="146">
        <f t="shared" si="30"/>
        <v>0</v>
      </c>
      <c r="BJ38" s="146">
        <f t="shared" si="31"/>
        <v>5.6843418860808015E-14</v>
      </c>
      <c r="BK38" s="146">
        <f t="shared" si="29"/>
        <v>3.4106051316484808E-14</v>
      </c>
      <c r="BL38" s="164">
        <f>IF(BN38=2,+BK38+BI38,"")</f>
        <v>3.4106051316484808E-14</v>
      </c>
      <c r="BM38" s="157">
        <f t="shared" si="32"/>
        <v>7.0419999999999998</v>
      </c>
      <c r="BN38">
        <f t="shared" si="16"/>
        <v>2</v>
      </c>
    </row>
    <row r="39" spans="1:67" ht="15.95" customHeight="1" thickBot="1" x14ac:dyDescent="0.3">
      <c r="B39" s="80">
        <f>MAX($B$8:$B38)</f>
        <v>162.15666666666667</v>
      </c>
      <c r="C39" s="80"/>
      <c r="D39" s="80"/>
      <c r="E39" s="80"/>
      <c r="F39" s="80"/>
      <c r="G39" s="279">
        <f>MAX($G$9:$G38)</f>
        <v>162.09399999999999</v>
      </c>
      <c r="H39" s="10" t="s">
        <v>1</v>
      </c>
      <c r="I39" s="14"/>
      <c r="J39" s="635">
        <f>SUM(L39:L39)-SUM(Q40:R40)</f>
        <v>162.16</v>
      </c>
      <c r="K39" s="636"/>
      <c r="L39" s="76">
        <f>SUM(L9:L38)</f>
        <v>162.16</v>
      </c>
      <c r="M39" s="141">
        <f>FLOOR(L39,1)</f>
        <v>162</v>
      </c>
      <c r="N39" s="141">
        <f>+L39-M39</f>
        <v>0.15999999999999659</v>
      </c>
      <c r="O39" s="141">
        <f>+N39/100*60</f>
        <v>9.5999999999997948E-2</v>
      </c>
      <c r="P39" s="278">
        <f>+O39+M39</f>
        <v>162.096</v>
      </c>
      <c r="Q39" s="629"/>
      <c r="R39" s="630"/>
      <c r="S39" s="630"/>
      <c r="T39" s="642"/>
      <c r="U39" s="433">
        <f>+AC39</f>
        <v>0</v>
      </c>
      <c r="V39" s="433"/>
      <c r="W39" s="433"/>
      <c r="X39" s="433"/>
      <c r="Y39" s="434">
        <f>SUM(Y8:Y38)</f>
        <v>0</v>
      </c>
      <c r="Z39" s="141">
        <f>FLOOR(Y39,1)</f>
        <v>0</v>
      </c>
      <c r="AA39" s="141">
        <f>+Y39-Z39</f>
        <v>0</v>
      </c>
      <c r="AB39" s="141">
        <f>+AA39/100*60</f>
        <v>0</v>
      </c>
      <c r="AC39" s="141">
        <f>+AB39+Z39</f>
        <v>0</v>
      </c>
      <c r="AD39" s="421">
        <f>+AL39</f>
        <v>0</v>
      </c>
      <c r="AE39" s="422"/>
      <c r="AF39" s="422"/>
      <c r="AG39" s="422"/>
      <c r="AH39" s="422">
        <f>SUM(AH8:AH38)</f>
        <v>0</v>
      </c>
      <c r="AI39" s="252">
        <f>FLOOR(AH39,1)</f>
        <v>0</v>
      </c>
      <c r="AJ39" s="252">
        <f>+AH39-AI39</f>
        <v>0</v>
      </c>
      <c r="AK39" s="252">
        <f>+AJ39/100*60</f>
        <v>0</v>
      </c>
      <c r="AL39" s="252">
        <f>+AK39+AI39</f>
        <v>0</v>
      </c>
      <c r="AM39" s="473">
        <f>+AU39</f>
        <v>0</v>
      </c>
      <c r="AN39" s="459"/>
      <c r="AO39" s="434"/>
      <c r="AP39" s="434"/>
      <c r="AQ39" s="434">
        <f>SUM(AQ8:AQ38)</f>
        <v>0</v>
      </c>
      <c r="AR39" s="141">
        <f>FLOOR(AQ39,1)</f>
        <v>0</v>
      </c>
      <c r="AS39" s="141">
        <f>+AQ39-AR39</f>
        <v>0</v>
      </c>
      <c r="AT39" s="141">
        <f>+AS39/100*60</f>
        <v>0</v>
      </c>
      <c r="AU39" s="141">
        <f>+AT39+AR39</f>
        <v>0</v>
      </c>
      <c r="AZ39" s="191"/>
      <c r="BA39" s="144">
        <f t="shared" ref="BA39:BA44" si="35">IF(AZ39&lt;0,-1,1)</f>
        <v>1</v>
      </c>
      <c r="BB39" s="146">
        <f t="shared" ref="BB39:BB44" si="36">FLOOR(AZ39,BA39)</f>
        <v>0</v>
      </c>
      <c r="BC39" s="191"/>
      <c r="BD39" s="191"/>
      <c r="BE39" s="191"/>
      <c r="BG39" s="145">
        <f>IF($K39&gt;=0,+SUM(L$9:$L39)-$B39+Apr!$AV$40+SUM(AM$9:$AM39)," ")</f>
        <v>162.16133333333335</v>
      </c>
      <c r="BH39" s="144">
        <f t="shared" si="28"/>
        <v>1</v>
      </c>
      <c r="BI39" s="146">
        <f t="shared" si="30"/>
        <v>162</v>
      </c>
      <c r="BJ39" s="146">
        <f t="shared" si="31"/>
        <v>0.16133333333334576</v>
      </c>
      <c r="BK39" s="146">
        <f t="shared" si="29"/>
        <v>9.6800000000007463E-2</v>
      </c>
      <c r="BL39" s="164" t="str">
        <f>IF(BN39=2,+BK39+BI39,"")</f>
        <v/>
      </c>
      <c r="BM39" s="157"/>
      <c r="BO39" s="15"/>
    </row>
    <row r="40" spans="1:67" ht="15.95" customHeight="1" x14ac:dyDescent="0.25">
      <c r="H40" s="623"/>
      <c r="I40" s="623"/>
      <c r="J40" s="637"/>
      <c r="K40" s="637"/>
      <c r="L40" s="637"/>
      <c r="M40" s="124"/>
      <c r="N40" s="124"/>
      <c r="O40" s="124"/>
      <c r="P40" s="124"/>
      <c r="Q40" s="104"/>
      <c r="R40" s="104"/>
      <c r="S40" s="599" t="s">
        <v>10</v>
      </c>
      <c r="T40" s="600"/>
      <c r="U40" s="600"/>
      <c r="V40" s="600"/>
      <c r="W40" s="600"/>
      <c r="X40" s="600"/>
      <c r="Y40" s="600"/>
      <c r="Z40" s="600"/>
      <c r="AA40" s="600"/>
      <c r="AB40" s="600"/>
      <c r="AC40" s="600"/>
      <c r="AD40" s="601"/>
      <c r="AE40" s="601"/>
      <c r="AF40" s="601"/>
      <c r="AG40" s="601"/>
      <c r="AH40" s="601"/>
      <c r="AI40" s="601"/>
      <c r="AJ40" s="601"/>
      <c r="AK40" s="601"/>
      <c r="AL40" s="601"/>
      <c r="AM40" s="634"/>
      <c r="AN40" s="400"/>
      <c r="AO40" s="400"/>
      <c r="AP40" s="400"/>
      <c r="AQ40" s="400"/>
      <c r="AR40" s="400"/>
      <c r="AS40" s="400"/>
      <c r="AT40" s="400"/>
      <c r="AU40" s="400"/>
      <c r="AV40" s="538">
        <f>+Mar!AV44</f>
        <v>-1.999999999981128E-3</v>
      </c>
      <c r="AW40" s="538"/>
      <c r="AX40" s="633"/>
      <c r="AZ40" s="190">
        <f>+Mar!AZ44</f>
        <v>-3.3333333332734583E-3</v>
      </c>
      <c r="BA40" s="144">
        <f t="shared" si="35"/>
        <v>-1</v>
      </c>
      <c r="BB40" s="146">
        <f t="shared" si="36"/>
        <v>0</v>
      </c>
      <c r="BC40" s="141">
        <f>+AZ40-BB40</f>
        <v>-3.3333333332734583E-3</v>
      </c>
      <c r="BD40" s="141">
        <f>+BC40/100*60</f>
        <v>-1.9999999999640752E-3</v>
      </c>
      <c r="BE40" s="162">
        <f>+BD40+BB40</f>
        <v>-1.9999999999640752E-3</v>
      </c>
      <c r="BG40" s="138"/>
      <c r="BH40" s="143"/>
      <c r="BI40" s="143"/>
      <c r="BJ40" s="143"/>
      <c r="BK40" s="143"/>
      <c r="BL40" s="168"/>
    </row>
    <row r="41" spans="1:67" ht="15.95" customHeight="1" x14ac:dyDescent="0.25">
      <c r="H41" s="94"/>
      <c r="I41" s="94"/>
      <c r="J41" s="94"/>
      <c r="K41" s="94"/>
      <c r="L41" s="100"/>
      <c r="M41" s="100"/>
      <c r="N41" s="100"/>
      <c r="O41" s="100"/>
      <c r="P41" s="100"/>
      <c r="Q41" s="100"/>
      <c r="R41" s="100"/>
      <c r="S41" s="602" t="s">
        <v>11</v>
      </c>
      <c r="T41" s="603"/>
      <c r="U41" s="603"/>
      <c r="V41" s="603"/>
      <c r="W41" s="603"/>
      <c r="X41" s="603"/>
      <c r="Y41" s="603"/>
      <c r="Z41" s="603"/>
      <c r="AA41" s="603"/>
      <c r="AB41" s="603"/>
      <c r="AC41" s="603"/>
      <c r="AD41" s="604"/>
      <c r="AE41" s="604"/>
      <c r="AF41" s="604"/>
      <c r="AG41" s="604"/>
      <c r="AH41" s="604"/>
      <c r="AI41" s="604"/>
      <c r="AJ41" s="604"/>
      <c r="AK41" s="604"/>
      <c r="AL41" s="604"/>
      <c r="AM41" s="604"/>
      <c r="AN41" s="401"/>
      <c r="AO41" s="401"/>
      <c r="AP41" s="401"/>
      <c r="AQ41" s="401"/>
      <c r="AR41" s="401"/>
      <c r="AS41" s="401"/>
      <c r="AT41" s="401"/>
      <c r="AU41" s="401"/>
      <c r="AV41" s="606">
        <f>+BE41</f>
        <v>162.096</v>
      </c>
      <c r="AW41" s="606"/>
      <c r="AX41" s="607"/>
      <c r="AY41" s="1"/>
      <c r="AZ41" s="190">
        <f>+J39+AQ39</f>
        <v>162.16</v>
      </c>
      <c r="BA41" s="144">
        <f t="shared" si="35"/>
        <v>1</v>
      </c>
      <c r="BB41" s="146">
        <f t="shared" si="36"/>
        <v>162</v>
      </c>
      <c r="BC41" s="141">
        <f>+AZ41-BB41</f>
        <v>0.15999999999999659</v>
      </c>
      <c r="BD41" s="141">
        <f>+BC41/100*60</f>
        <v>9.5999999999997948E-2</v>
      </c>
      <c r="BE41" s="162">
        <f>+BD41+BB41</f>
        <v>162.096</v>
      </c>
    </row>
    <row r="42" spans="1:67" ht="15.95" customHeight="1" x14ac:dyDescent="0.25">
      <c r="H42" s="638"/>
      <c r="I42" s="638"/>
      <c r="J42" s="638"/>
      <c r="K42" s="638"/>
      <c r="L42" s="638"/>
      <c r="M42" s="638"/>
      <c r="N42" s="638"/>
      <c r="O42" s="638"/>
      <c r="P42" s="638"/>
      <c r="Q42" s="638"/>
      <c r="R42" s="638"/>
      <c r="S42" s="602" t="s">
        <v>12</v>
      </c>
      <c r="T42" s="603"/>
      <c r="U42" s="603"/>
      <c r="V42" s="603"/>
      <c r="W42" s="603"/>
      <c r="X42" s="603"/>
      <c r="Y42" s="603"/>
      <c r="Z42" s="603"/>
      <c r="AA42" s="603"/>
      <c r="AB42" s="603"/>
      <c r="AC42" s="603"/>
      <c r="AD42" s="604"/>
      <c r="AE42" s="604"/>
      <c r="AF42" s="604"/>
      <c r="AG42" s="604"/>
      <c r="AH42" s="604"/>
      <c r="AI42" s="604"/>
      <c r="AJ42" s="604"/>
      <c r="AK42" s="604"/>
      <c r="AL42" s="604"/>
      <c r="AM42" s="604"/>
      <c r="AN42" s="401"/>
      <c r="AO42" s="401"/>
      <c r="AP42" s="401"/>
      <c r="AQ42" s="401"/>
      <c r="AR42" s="401"/>
      <c r="AS42" s="401"/>
      <c r="AT42" s="401"/>
      <c r="AU42" s="401"/>
      <c r="AV42" s="543">
        <f>+BE42</f>
        <v>162.09399999999999</v>
      </c>
      <c r="AW42" s="543"/>
      <c r="AX42" s="544"/>
      <c r="AZ42" s="157">
        <f>+B39</f>
        <v>162.15666666666667</v>
      </c>
      <c r="BA42" s="144">
        <f t="shared" si="35"/>
        <v>1</v>
      </c>
      <c r="BB42" s="146">
        <f t="shared" si="36"/>
        <v>162</v>
      </c>
      <c r="BC42" s="141">
        <f>+AZ42-BB42</f>
        <v>0.15666666666666629</v>
      </c>
      <c r="BD42" s="141">
        <f>+BC42/100*60</f>
        <v>9.3999999999999764E-2</v>
      </c>
      <c r="BE42" s="162">
        <f>+BD42+BB42</f>
        <v>162.09399999999999</v>
      </c>
    </row>
    <row r="43" spans="1:67" ht="19.5" customHeight="1" thickBot="1" x14ac:dyDescent="0.3">
      <c r="H43" s="611"/>
      <c r="I43" s="611"/>
      <c r="J43" s="611"/>
      <c r="K43" s="611"/>
      <c r="L43" s="611"/>
      <c r="M43" s="611"/>
      <c r="N43" s="611"/>
      <c r="O43" s="611"/>
      <c r="P43" s="611"/>
      <c r="Q43" s="611"/>
      <c r="R43" s="611"/>
      <c r="S43" s="596" t="s">
        <v>13</v>
      </c>
      <c r="T43" s="597"/>
      <c r="U43" s="597"/>
      <c r="V43" s="597"/>
      <c r="W43" s="597"/>
      <c r="X43" s="597"/>
      <c r="Y43" s="597"/>
      <c r="Z43" s="597"/>
      <c r="AA43" s="597"/>
      <c r="AB43" s="597"/>
      <c r="AC43" s="597"/>
      <c r="AD43" s="598"/>
      <c r="AE43" s="598"/>
      <c r="AF43" s="598"/>
      <c r="AG43" s="598"/>
      <c r="AH43" s="598"/>
      <c r="AI43" s="598"/>
      <c r="AJ43" s="598"/>
      <c r="AK43" s="598"/>
      <c r="AL43" s="598"/>
      <c r="AM43" s="598"/>
      <c r="AN43" s="402"/>
      <c r="AO43" s="402"/>
      <c r="AP43" s="402"/>
      <c r="AQ43" s="402"/>
      <c r="AR43" s="402"/>
      <c r="AS43" s="402"/>
      <c r="AT43" s="402"/>
      <c r="AU43" s="402"/>
      <c r="AV43" s="545">
        <f>+AV40+AV41-AV42</f>
        <v>0</v>
      </c>
      <c r="AW43" s="545"/>
      <c r="AX43" s="609"/>
      <c r="AZ43" s="157">
        <f>+AZ40+AZ41-AZ42</f>
        <v>0</v>
      </c>
      <c r="BA43" s="144">
        <f t="shared" si="35"/>
        <v>1</v>
      </c>
      <c r="BB43" s="146">
        <f t="shared" si="36"/>
        <v>0</v>
      </c>
      <c r="BC43" s="141">
        <f>+AZ43-BB43</f>
        <v>0</v>
      </c>
      <c r="BD43" s="141">
        <f>+BC43/100*60</f>
        <v>0</v>
      </c>
      <c r="BE43" s="162">
        <f>+BD43+BB43</f>
        <v>0</v>
      </c>
    </row>
    <row r="44" spans="1:67" ht="15.95" hidden="1" customHeight="1" x14ac:dyDescent="0.25">
      <c r="H44" s="96"/>
      <c r="I44" s="96"/>
      <c r="J44" s="96"/>
      <c r="K44" s="96"/>
      <c r="L44" s="97"/>
      <c r="M44" s="97"/>
      <c r="N44" s="97"/>
      <c r="O44" s="97"/>
      <c r="P44" s="97"/>
      <c r="Q44" s="96"/>
      <c r="R44" s="96"/>
      <c r="S44" s="171"/>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2"/>
      <c r="BA44" s="144">
        <f t="shared" si="35"/>
        <v>1</v>
      </c>
      <c r="BB44" s="146">
        <f t="shared" si="36"/>
        <v>0</v>
      </c>
    </row>
    <row r="45" spans="1:67" ht="15.95" hidden="1" customHeight="1" thickBot="1" x14ac:dyDescent="0.3">
      <c r="H45" s="96"/>
      <c r="I45" s="96"/>
      <c r="J45" s="96"/>
      <c r="K45" s="96"/>
      <c r="L45" s="96"/>
      <c r="M45" s="96"/>
      <c r="N45" s="96"/>
      <c r="O45" s="96"/>
      <c r="P45" s="96"/>
      <c r="Q45" s="96"/>
      <c r="R45" s="96"/>
      <c r="S45" s="589" t="s">
        <v>76</v>
      </c>
      <c r="T45" s="590"/>
      <c r="U45" s="590"/>
      <c r="V45" s="590"/>
      <c r="W45" s="590"/>
      <c r="X45" s="590"/>
      <c r="Y45" s="590"/>
      <c r="Z45" s="590"/>
      <c r="AA45" s="590"/>
      <c r="AB45" s="590"/>
      <c r="AC45" s="590"/>
      <c r="AD45" s="590"/>
      <c r="AE45" s="590"/>
      <c r="AF45" s="590"/>
      <c r="AG45" s="590"/>
      <c r="AH45" s="590"/>
      <c r="AI45" s="590"/>
      <c r="AJ45" s="590"/>
      <c r="AK45" s="590"/>
      <c r="AL45" s="590"/>
      <c r="AM45" s="590"/>
      <c r="AN45" s="175"/>
      <c r="AO45" s="175"/>
      <c r="AP45" s="175"/>
      <c r="AQ45" s="175"/>
      <c r="AR45" s="175"/>
      <c r="AS45" s="175"/>
      <c r="AT45" s="175"/>
      <c r="AU45" s="175"/>
      <c r="AV45" s="594">
        <f>+BE45</f>
        <v>0</v>
      </c>
      <c r="AW45" s="594"/>
      <c r="AX45" s="595"/>
      <c r="AZ45" s="157">
        <f>+Y39+AH39+Mar!AZ46</f>
        <v>0</v>
      </c>
      <c r="BA45" s="157"/>
      <c r="BB45" s="141">
        <f>FLOOR(AZ45,1)</f>
        <v>0</v>
      </c>
      <c r="BC45" s="141">
        <f>+AZ45-BB45</f>
        <v>0</v>
      </c>
      <c r="BD45" s="141">
        <f>+BC45/100*60</f>
        <v>0</v>
      </c>
      <c r="BE45" s="162">
        <f>+BD45+BB45</f>
        <v>0</v>
      </c>
    </row>
    <row r="46" spans="1:67" ht="15.95" customHeight="1" x14ac:dyDescent="0.25"/>
  </sheetData>
  <sheetProtection sheet="1" objects="1" scenarios="1"/>
  <mergeCells count="59">
    <mergeCell ref="Q39:T39"/>
    <mergeCell ref="Q38:T38"/>
    <mergeCell ref="Q7:T7"/>
    <mergeCell ref="Q36:T36"/>
    <mergeCell ref="Q37:T37"/>
    <mergeCell ref="Q34:T34"/>
    <mergeCell ref="Q30:T30"/>
    <mergeCell ref="Q31:T31"/>
    <mergeCell ref="Q28:T28"/>
    <mergeCell ref="Q35:T35"/>
    <mergeCell ref="Q32:T32"/>
    <mergeCell ref="Q33:T33"/>
    <mergeCell ref="Q22:T22"/>
    <mergeCell ref="Q23:T23"/>
    <mergeCell ref="Q29:T29"/>
    <mergeCell ref="Q24:T24"/>
    <mergeCell ref="Q25:T25"/>
    <mergeCell ref="Q26:T26"/>
    <mergeCell ref="Q27:T27"/>
    <mergeCell ref="AX4:AY4"/>
    <mergeCell ref="Q20:T20"/>
    <mergeCell ref="Q21:T21"/>
    <mergeCell ref="Q16:T16"/>
    <mergeCell ref="Q17:T17"/>
    <mergeCell ref="Q18:T18"/>
    <mergeCell ref="Q19:T19"/>
    <mergeCell ref="U6:AD6"/>
    <mergeCell ref="H1:AZ1"/>
    <mergeCell ref="H43:R43"/>
    <mergeCell ref="J39:K39"/>
    <mergeCell ref="AX5:AY5"/>
    <mergeCell ref="U5:AV5"/>
    <mergeCell ref="L5:S5"/>
    <mergeCell ref="H5:K5"/>
    <mergeCell ref="H40:L40"/>
    <mergeCell ref="H42:R42"/>
    <mergeCell ref="Q9:T9"/>
    <mergeCell ref="H4:K4"/>
    <mergeCell ref="U3:AV3"/>
    <mergeCell ref="L4:S4"/>
    <mergeCell ref="H3:K3"/>
    <mergeCell ref="L3:S3"/>
    <mergeCell ref="AX3:AY3"/>
    <mergeCell ref="S45:AM45"/>
    <mergeCell ref="AV45:AX45"/>
    <mergeCell ref="S40:AM40"/>
    <mergeCell ref="S41:AM41"/>
    <mergeCell ref="S42:AM42"/>
    <mergeCell ref="S43:AM43"/>
    <mergeCell ref="AV40:AX40"/>
    <mergeCell ref="AV41:AX41"/>
    <mergeCell ref="AV42:AX42"/>
    <mergeCell ref="AV43:AX43"/>
    <mergeCell ref="Q14:T14"/>
    <mergeCell ref="Q15:T15"/>
    <mergeCell ref="Q10:T10"/>
    <mergeCell ref="Q11:T11"/>
    <mergeCell ref="Q12:T12"/>
    <mergeCell ref="Q13:T13"/>
  </mergeCells>
  <phoneticPr fontId="0" type="noConversion"/>
  <conditionalFormatting sqref="M39:P39 V9:X38 BB39:BB44 Z39:AC39 AL13 AE9:AG38 AI39:AL39 AU13 AN9:AP38 AR39:AU39 BB45:BE45 BC40:BE43 L10:P12 BI9:BK39 L14:P15 L17:P22 L28:P29 L35:P36">
    <cfRule type="cellIs" dxfId="211" priority="49" stopIfTrue="1" operator="lessThan">
      <formula>0</formula>
    </cfRule>
  </conditionalFormatting>
  <conditionalFormatting sqref="H9:H38">
    <cfRule type="expression" dxfId="210" priority="50" stopIfTrue="1">
      <formula>IF(WEEKDAY($I9,2)&gt;5,1,0)</formula>
    </cfRule>
    <cfRule type="expression" dxfId="209" priority="51" stopIfTrue="1">
      <formula>IF($I9=TODAY(),1,0)</formula>
    </cfRule>
  </conditionalFormatting>
  <conditionalFormatting sqref="Q9:T38 AZ9:BE38 J10:K11 J14:K15 J28:K29 J35:K36 J20:K22 J18:K18 J17">
    <cfRule type="expression" dxfId="208" priority="52" stopIfTrue="1">
      <formula>IF(WEEKDAY($B9,2)&lt;6,1,0)</formula>
    </cfRule>
  </conditionalFormatting>
  <conditionalFormatting sqref="B9:B38 G9:G38">
    <cfRule type="expression" dxfId="207" priority="53" stopIfTrue="1">
      <formula>IF(B9=MAX($B$8:B8),1,0)</formula>
    </cfRule>
  </conditionalFormatting>
  <conditionalFormatting sqref="L9:P9">
    <cfRule type="cellIs" dxfId="206" priority="47" stopIfTrue="1" operator="lessThan">
      <formula>0</formula>
    </cfRule>
  </conditionalFormatting>
  <conditionalFormatting sqref="J9:K9">
    <cfRule type="expression" dxfId="205" priority="48" stopIfTrue="1">
      <formula>IF(WEEKDAY($B9,2)&lt;6,1,0)</formula>
    </cfRule>
  </conditionalFormatting>
  <conditionalFormatting sqref="L16:P16">
    <cfRule type="cellIs" dxfId="204" priority="45" stopIfTrue="1" operator="lessThan">
      <formula>0</formula>
    </cfRule>
  </conditionalFormatting>
  <conditionalFormatting sqref="J16:K16">
    <cfRule type="expression" dxfId="203" priority="46" stopIfTrue="1">
      <formula>IF(WEEKDAY($B16,2)&lt;6,1,0)</formula>
    </cfRule>
  </conditionalFormatting>
  <conditionalFormatting sqref="L17:P17">
    <cfRule type="cellIs" dxfId="202" priority="43" stopIfTrue="1" operator="lessThan">
      <formula>0</formula>
    </cfRule>
  </conditionalFormatting>
  <conditionalFormatting sqref="J17">
    <cfRule type="expression" dxfId="201" priority="44" stopIfTrue="1">
      <formula>IF(WEEKDAY($B17,2)&lt;6,1,0)</formula>
    </cfRule>
  </conditionalFormatting>
  <conditionalFormatting sqref="L13:P13">
    <cfRule type="cellIs" dxfId="200" priority="41" stopIfTrue="1" operator="lessThan">
      <formula>0</formula>
    </cfRule>
  </conditionalFormatting>
  <conditionalFormatting sqref="J13:K13">
    <cfRule type="expression" dxfId="199" priority="42" stopIfTrue="1">
      <formula>IF(WEEKDAY($B13,2)&lt;6,1,0)</formula>
    </cfRule>
  </conditionalFormatting>
  <conditionalFormatting sqref="L16:P16">
    <cfRule type="cellIs" dxfId="198" priority="39" stopIfTrue="1" operator="lessThan">
      <formula>0</formula>
    </cfRule>
  </conditionalFormatting>
  <conditionalFormatting sqref="J16:K16">
    <cfRule type="expression" dxfId="197" priority="40" stopIfTrue="1">
      <formula>IF(WEEKDAY($B16,2)&lt;6,1,0)</formula>
    </cfRule>
  </conditionalFormatting>
  <conditionalFormatting sqref="L24:P27">
    <cfRule type="cellIs" dxfId="196" priority="37" stopIfTrue="1" operator="lessThan">
      <formula>0</formula>
    </cfRule>
  </conditionalFormatting>
  <conditionalFormatting sqref="J27:K27 J24:J25">
    <cfRule type="expression" dxfId="195" priority="38" stopIfTrue="1">
      <formula>IF(WEEKDAY($B24,2)&lt;6,1,0)</formula>
    </cfRule>
  </conditionalFormatting>
  <conditionalFormatting sqref="L23:P23">
    <cfRule type="cellIs" dxfId="194" priority="35" stopIfTrue="1" operator="lessThan">
      <formula>0</formula>
    </cfRule>
  </conditionalFormatting>
  <conditionalFormatting sqref="J23">
    <cfRule type="expression" dxfId="193" priority="36" stopIfTrue="1">
      <formula>IF(WEEKDAY($B23,2)&lt;6,1,0)</formula>
    </cfRule>
  </conditionalFormatting>
  <conditionalFormatting sqref="L24:P24">
    <cfRule type="cellIs" dxfId="192" priority="33" stopIfTrue="1" operator="lessThan">
      <formula>0</formula>
    </cfRule>
  </conditionalFormatting>
  <conditionalFormatting sqref="J24">
    <cfRule type="expression" dxfId="191" priority="34" stopIfTrue="1">
      <formula>IF(WEEKDAY($B24,2)&lt;6,1,0)</formula>
    </cfRule>
  </conditionalFormatting>
  <conditionalFormatting sqref="L23:P23">
    <cfRule type="cellIs" dxfId="190" priority="31" stopIfTrue="1" operator="lessThan">
      <formula>0</formula>
    </cfRule>
  </conditionalFormatting>
  <conditionalFormatting sqref="J23">
    <cfRule type="expression" dxfId="189" priority="32" stopIfTrue="1">
      <formula>IF(WEEKDAY($B23,2)&lt;6,1,0)</formula>
    </cfRule>
  </conditionalFormatting>
  <conditionalFormatting sqref="L31:P34">
    <cfRule type="cellIs" dxfId="188" priority="29" stopIfTrue="1" operator="lessThan">
      <formula>0</formula>
    </cfRule>
  </conditionalFormatting>
  <conditionalFormatting sqref="J32:K32 J34:K34 J31">
    <cfRule type="expression" dxfId="187" priority="30" stopIfTrue="1">
      <formula>IF(WEEKDAY($B31,2)&lt;6,1,0)</formula>
    </cfRule>
  </conditionalFormatting>
  <conditionalFormatting sqref="L30:P30">
    <cfRule type="cellIs" dxfId="186" priority="27" stopIfTrue="1" operator="lessThan">
      <formula>0</formula>
    </cfRule>
  </conditionalFormatting>
  <conditionalFormatting sqref="J30:K30">
    <cfRule type="expression" dxfId="185" priority="28" stopIfTrue="1">
      <formula>IF(WEEKDAY($B30,2)&lt;6,1,0)</formula>
    </cfRule>
  </conditionalFormatting>
  <conditionalFormatting sqref="L31:P31">
    <cfRule type="cellIs" dxfId="184" priority="25" stopIfTrue="1" operator="lessThan">
      <formula>0</formula>
    </cfRule>
  </conditionalFormatting>
  <conditionalFormatting sqref="J31">
    <cfRule type="expression" dxfId="183" priority="26" stopIfTrue="1">
      <formula>IF(WEEKDAY($B31,2)&lt;6,1,0)</formula>
    </cfRule>
  </conditionalFormatting>
  <conditionalFormatting sqref="L30:P30">
    <cfRule type="cellIs" dxfId="182" priority="23" stopIfTrue="1" operator="lessThan">
      <formula>0</formula>
    </cfRule>
  </conditionalFormatting>
  <conditionalFormatting sqref="J30:K30">
    <cfRule type="expression" dxfId="181" priority="24" stopIfTrue="1">
      <formula>IF(WEEKDAY($B30,2)&lt;6,1,0)</formula>
    </cfRule>
  </conditionalFormatting>
  <conditionalFormatting sqref="L38:P38">
    <cfRule type="cellIs" dxfId="180" priority="21" stopIfTrue="1" operator="lessThan">
      <formula>0</formula>
    </cfRule>
  </conditionalFormatting>
  <conditionalFormatting sqref="J38:K38">
    <cfRule type="expression" dxfId="179" priority="22" stopIfTrue="1">
      <formula>IF(WEEKDAY($B38,2)&lt;6,1,0)</formula>
    </cfRule>
  </conditionalFormatting>
  <conditionalFormatting sqref="L37:P37">
    <cfRule type="cellIs" dxfId="178" priority="19" stopIfTrue="1" operator="lessThan">
      <formula>0</formula>
    </cfRule>
  </conditionalFormatting>
  <conditionalFormatting sqref="J37:K37">
    <cfRule type="expression" dxfId="177" priority="20" stopIfTrue="1">
      <formula>IF(WEEKDAY($B37,2)&lt;6,1,0)</formula>
    </cfRule>
  </conditionalFormatting>
  <conditionalFormatting sqref="L38:P38">
    <cfRule type="cellIs" dxfId="176" priority="17" stopIfTrue="1" operator="lessThan">
      <formula>0</formula>
    </cfRule>
  </conditionalFormatting>
  <conditionalFormatting sqref="J38:K38">
    <cfRule type="expression" dxfId="175" priority="18" stopIfTrue="1">
      <formula>IF(WEEKDAY($B38,2)&lt;6,1,0)</formula>
    </cfRule>
  </conditionalFormatting>
  <conditionalFormatting sqref="L37:P37">
    <cfRule type="cellIs" dxfId="174" priority="15" stopIfTrue="1" operator="lessThan">
      <formula>0</formula>
    </cfRule>
  </conditionalFormatting>
  <conditionalFormatting sqref="J37:K37">
    <cfRule type="expression" dxfId="173" priority="16" stopIfTrue="1">
      <formula>IF(WEEKDAY($B37,2)&lt;6,1,0)</formula>
    </cfRule>
  </conditionalFormatting>
  <conditionalFormatting sqref="J12:K12">
    <cfRule type="expression" dxfId="172" priority="13" stopIfTrue="1">
      <formula>IF(WEEKDAY($B12,2)&lt;6,1,0)</formula>
    </cfRule>
  </conditionalFormatting>
  <conditionalFormatting sqref="J19:K19">
    <cfRule type="expression" dxfId="171" priority="8" stopIfTrue="1">
      <formula>IF(WEEKDAY($B19,2)&lt;6,1,0)</formula>
    </cfRule>
  </conditionalFormatting>
  <conditionalFormatting sqref="J26:K26">
    <cfRule type="expression" dxfId="170" priority="7" stopIfTrue="1">
      <formula>IF(WEEKDAY($B26,2)&lt;6,1,0)</formula>
    </cfRule>
  </conditionalFormatting>
  <conditionalFormatting sqref="J33:K33">
    <cfRule type="expression" dxfId="169" priority="6" stopIfTrue="1">
      <formula>IF(WEEKDAY($B33,2)&lt;6,1,0)</formula>
    </cfRule>
  </conditionalFormatting>
  <conditionalFormatting sqref="K25">
    <cfRule type="expression" dxfId="168" priority="5" stopIfTrue="1">
      <formula>IF(WEEKDAY($B25,2)&lt;6,1,0)</formula>
    </cfRule>
  </conditionalFormatting>
  <conditionalFormatting sqref="K24">
    <cfRule type="expression" dxfId="167" priority="4" stopIfTrue="1">
      <formula>IF(WEEKDAY($B24,2)&lt;6,1,0)</formula>
    </cfRule>
  </conditionalFormatting>
  <conditionalFormatting sqref="K23">
    <cfRule type="expression" dxfId="166" priority="3" stopIfTrue="1">
      <formula>IF(WEEKDAY($B23,2)&lt;6,1,0)</formula>
    </cfRule>
  </conditionalFormatting>
  <conditionalFormatting sqref="K17">
    <cfRule type="expression" dxfId="165" priority="2" stopIfTrue="1">
      <formula>IF(WEEKDAY($B17,2)&lt;6,1,0)</formula>
    </cfRule>
  </conditionalFormatting>
  <conditionalFormatting sqref="K31">
    <cfRule type="expression" dxfId="164" priority="1" stopIfTrue="1">
      <formula>IF(WEEKDAY($B31,2)&lt;6,1,0)</formula>
    </cfRule>
  </conditionalFormatting>
  <printOptions horizontalCentered="1" verticalCentered="1"/>
  <pageMargins left="0.59055118110236227" right="0.19685039370078741" top="0.19685039370078741" bottom="0.59055118110236227" header="0.51181102362204722" footer="0.51181102362204722"/>
  <pageSetup paperSize="9" scale="110" orientation="portrait" horizont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dimension ref="A1:BO46"/>
  <sheetViews>
    <sheetView zoomScale="75" workbookViewId="0">
      <pane xSplit="9" ySplit="8" topLeftCell="J9" activePane="bottomRight" state="frozen"/>
      <selection activeCell="U24" sqref="U24"/>
      <selection pane="topRight" activeCell="U24" sqref="U24"/>
      <selection pane="bottomLeft" activeCell="U24" sqref="U24"/>
      <selection pane="bottomRight" activeCell="BL23" sqref="BL23"/>
    </sheetView>
  </sheetViews>
  <sheetFormatPr defaultRowHeight="15" x14ac:dyDescent="0.25"/>
  <cols>
    <col min="1" max="1" width="12.28515625" customWidth="1"/>
    <col min="2" max="2" width="9.42578125" hidden="1" customWidth="1"/>
    <col min="3" max="3" width="5.28515625" hidden="1" customWidth="1"/>
    <col min="4" max="6" width="9.85546875" hidden="1" customWidth="1"/>
    <col min="7" max="7" width="10" style="258" bestFit="1" customWidth="1"/>
    <col min="8" max="8" width="5.42578125" bestFit="1" customWidth="1"/>
    <col min="9" max="9" width="12" hidden="1" customWidth="1"/>
    <col min="10" max="10" width="7.7109375" customWidth="1"/>
    <col min="11" max="11" width="7" bestFit="1" customWidth="1"/>
    <col min="12" max="12" width="7.140625" hidden="1" customWidth="1"/>
    <col min="13" max="15" width="9.85546875" hidden="1" customWidth="1"/>
    <col min="16" max="16" width="8" style="266" customWidth="1"/>
    <col min="17" max="19" width="6.28515625" customWidth="1"/>
    <col min="20" max="20" width="2.7109375" customWidth="1"/>
    <col min="21" max="21" width="17.85546875" bestFit="1" customWidth="1"/>
    <col min="22" max="29" width="5.28515625" hidden="1" customWidth="1"/>
    <col min="30" max="30" width="16.85546875" style="266" customWidth="1"/>
    <col min="31" max="38" width="5.28515625" hidden="1" customWidth="1"/>
    <col min="39" max="39" width="22.85546875" bestFit="1" customWidth="1"/>
    <col min="40" max="47" width="5.28515625" hidden="1" customWidth="1"/>
    <col min="48" max="48" width="6.28515625" hidden="1" customWidth="1"/>
    <col min="49" max="49" width="4.42578125" customWidth="1"/>
    <col min="50" max="50" width="4.5703125" customWidth="1"/>
    <col min="51" max="51" width="7.5703125" customWidth="1"/>
    <col min="52" max="52" width="8.5703125" hidden="1" customWidth="1"/>
    <col min="53" max="53" width="6" hidden="1" customWidth="1"/>
    <col min="54" max="54" width="7.5703125" hidden="1" customWidth="1"/>
    <col min="55" max="56" width="6" hidden="1" customWidth="1"/>
    <col min="57" max="57" width="7.5703125" hidden="1" customWidth="1"/>
    <col min="58" max="58" width="0" hidden="1" customWidth="1"/>
    <col min="59" max="60" width="10" style="134" hidden="1" customWidth="1"/>
    <col min="61" max="63" width="9.85546875" style="134" hidden="1" customWidth="1"/>
    <col min="64" max="64" width="12.140625" style="134" bestFit="1" customWidth="1"/>
    <col min="65" max="65" width="4.5703125" hidden="1" customWidth="1"/>
    <col min="66" max="66" width="2.28515625" hidden="1" customWidth="1"/>
    <col min="67" max="68" width="0" hidden="1" customWidth="1"/>
  </cols>
  <sheetData>
    <row r="1" spans="1:66" ht="18" x14ac:dyDescent="0.25">
      <c r="H1" s="547" t="s">
        <v>114</v>
      </c>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174"/>
      <c r="BB1" s="174"/>
      <c r="BC1" s="174"/>
      <c r="BD1" s="174"/>
      <c r="BE1" s="174"/>
    </row>
    <row r="2" spans="1:66" ht="8.1" customHeight="1" x14ac:dyDescent="0.25">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66" ht="15.95" customHeight="1" x14ac:dyDescent="0.25">
      <c r="H3" s="620" t="s">
        <v>5</v>
      </c>
      <c r="I3" s="621"/>
      <c r="J3" s="621"/>
      <c r="K3" s="622"/>
      <c r="L3" s="555" t="str">
        <f>+Resume!H1</f>
        <v>Lars Larsen</v>
      </c>
      <c r="M3" s="556"/>
      <c r="N3" s="556"/>
      <c r="O3" s="556"/>
      <c r="P3" s="556"/>
      <c r="Q3" s="557"/>
      <c r="R3" s="557"/>
      <c r="S3" s="557"/>
      <c r="T3" s="49"/>
      <c r="U3" s="626" t="s">
        <v>7</v>
      </c>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155"/>
      <c r="AX3" s="558">
        <f>DATE(Nøgletal!B1,5,1)</f>
        <v>41395</v>
      </c>
      <c r="AY3" s="560"/>
      <c r="AZ3" s="183"/>
      <c r="BA3" s="183"/>
      <c r="BB3" s="183"/>
      <c r="BC3" s="183"/>
      <c r="BD3" s="183"/>
      <c r="BE3" s="183"/>
    </row>
    <row r="4" spans="1:66" ht="15.95" customHeight="1" x14ac:dyDescent="0.25">
      <c r="H4" s="625" t="s">
        <v>6</v>
      </c>
      <c r="I4" s="625"/>
      <c r="J4" s="625"/>
      <c r="K4" s="625"/>
      <c r="L4" s="550" t="str">
        <f>+Resume!H2</f>
        <v>010101-0101</v>
      </c>
      <c r="M4" s="551"/>
      <c r="N4" s="551"/>
      <c r="O4" s="551"/>
      <c r="P4" s="551"/>
      <c r="Q4" s="551"/>
      <c r="R4" s="551"/>
      <c r="S4" s="551"/>
      <c r="T4" s="50"/>
      <c r="U4" s="17" t="s">
        <v>8</v>
      </c>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8"/>
      <c r="AW4" s="159"/>
      <c r="AX4" s="561" t="str">
        <f>IF(Resume!I4&lt;&gt;"",Resume!I4,"")</f>
        <v>1 - bagud</v>
      </c>
      <c r="AY4" s="563"/>
      <c r="AZ4" s="184"/>
      <c r="BA4" s="184"/>
      <c r="BB4" s="184"/>
      <c r="BC4" s="184"/>
      <c r="BD4" s="184"/>
      <c r="BE4" s="184"/>
    </row>
    <row r="5" spans="1:66" ht="15.95" customHeight="1" x14ac:dyDescent="0.25">
      <c r="H5" s="620" t="s">
        <v>9</v>
      </c>
      <c r="I5" s="621"/>
      <c r="J5" s="621"/>
      <c r="K5" s="622"/>
      <c r="L5" s="555" t="str">
        <f>+Resume!H3</f>
        <v>SKAT</v>
      </c>
      <c r="M5" s="556"/>
      <c r="N5" s="556"/>
      <c r="O5" s="556"/>
      <c r="P5" s="556"/>
      <c r="Q5" s="557"/>
      <c r="R5" s="557"/>
      <c r="S5" s="557"/>
      <c r="T5" s="49"/>
      <c r="U5" s="617"/>
      <c r="V5" s="618"/>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9"/>
      <c r="AW5" s="156"/>
      <c r="AX5" s="614"/>
      <c r="AY5" s="616"/>
      <c r="AZ5" s="185"/>
      <c r="BA5" s="185"/>
      <c r="BB5" s="185"/>
      <c r="BC5" s="185"/>
      <c r="BD5" s="185"/>
      <c r="BE5" s="185"/>
    </row>
    <row r="6" spans="1:66" ht="45.75" customHeight="1" thickBot="1" x14ac:dyDescent="0.3">
      <c r="H6" s="3"/>
      <c r="I6" s="3"/>
      <c r="J6" s="3"/>
      <c r="K6" s="3"/>
      <c r="L6" s="3"/>
      <c r="M6" s="3"/>
      <c r="N6" s="3"/>
      <c r="O6" s="3"/>
      <c r="P6" s="3"/>
      <c r="Q6" s="426"/>
      <c r="R6" s="426"/>
      <c r="S6" s="426"/>
      <c r="T6" s="426"/>
      <c r="U6" s="628" t="s">
        <v>75</v>
      </c>
      <c r="V6" s="628"/>
      <c r="W6" s="628"/>
      <c r="X6" s="628"/>
      <c r="Y6" s="628"/>
      <c r="Z6" s="628"/>
      <c r="AA6" s="628"/>
      <c r="AB6" s="628"/>
      <c r="AC6" s="628"/>
      <c r="AD6" s="628"/>
      <c r="AE6" s="427"/>
      <c r="AF6" s="427"/>
      <c r="AG6" s="427"/>
      <c r="AH6" s="427"/>
      <c r="AI6" s="427"/>
      <c r="AJ6" s="427"/>
      <c r="AK6" s="427"/>
      <c r="AL6" s="427"/>
      <c r="AM6" s="428" t="s">
        <v>77</v>
      </c>
      <c r="AN6" s="429"/>
      <c r="AO6" s="429"/>
      <c r="AP6" s="429"/>
      <c r="AQ6" s="429"/>
      <c r="AR6" s="429"/>
      <c r="AS6" s="429"/>
      <c r="AT6" s="429"/>
      <c r="AU6" s="429"/>
      <c r="AV6" s="426"/>
      <c r="AW6" s="426"/>
      <c r="AZ6" s="193"/>
      <c r="BA6" s="193"/>
      <c r="BB6" s="193"/>
      <c r="BC6" s="193"/>
      <c r="BD6" s="193"/>
      <c r="BE6" s="193"/>
    </row>
    <row r="7" spans="1:66" s="118" customFormat="1" ht="48.75" customHeight="1" thickBot="1" x14ac:dyDescent="0.3">
      <c r="A7" s="112" t="s">
        <v>58</v>
      </c>
      <c r="B7" s="113" t="s">
        <v>18</v>
      </c>
      <c r="C7" s="176"/>
      <c r="D7" s="176"/>
      <c r="E7" s="176"/>
      <c r="F7" s="176"/>
      <c r="G7" s="262" t="s">
        <v>18</v>
      </c>
      <c r="H7" s="114" t="s">
        <v>2</v>
      </c>
      <c r="I7" s="115"/>
      <c r="J7" s="116" t="s">
        <v>3</v>
      </c>
      <c r="K7" s="116" t="s">
        <v>4</v>
      </c>
      <c r="L7" s="117" t="s">
        <v>0</v>
      </c>
      <c r="M7" s="139"/>
      <c r="N7" s="139"/>
      <c r="O7" s="139"/>
      <c r="P7" s="216" t="s">
        <v>69</v>
      </c>
      <c r="Q7" s="586" t="s">
        <v>115</v>
      </c>
      <c r="R7" s="587"/>
      <c r="S7" s="587"/>
      <c r="T7" s="588"/>
      <c r="U7" s="452" t="s">
        <v>116</v>
      </c>
      <c r="V7" s="423"/>
      <c r="W7" s="423"/>
      <c r="X7" s="423"/>
      <c r="Y7" s="423"/>
      <c r="Z7" s="423"/>
      <c r="AA7" s="423"/>
      <c r="AB7" s="423"/>
      <c r="AC7" s="423"/>
      <c r="AD7" s="423" t="s">
        <v>68</v>
      </c>
      <c r="AE7" s="423"/>
      <c r="AF7" s="423"/>
      <c r="AG7" s="423"/>
      <c r="AH7" s="423"/>
      <c r="AI7" s="423"/>
      <c r="AJ7" s="423"/>
      <c r="AK7" s="423"/>
      <c r="AL7" s="423"/>
      <c r="AM7" s="424" t="s">
        <v>91</v>
      </c>
      <c r="AN7" s="425"/>
      <c r="AO7" s="425"/>
      <c r="AP7" s="425"/>
      <c r="AQ7" s="425"/>
      <c r="AR7" s="425"/>
      <c r="AS7" s="425"/>
      <c r="AT7" s="425"/>
      <c r="AU7" s="425"/>
      <c r="AZ7" s="186"/>
      <c r="BA7" s="186"/>
      <c r="BB7" s="186"/>
      <c r="BC7" s="186"/>
      <c r="BD7" s="186"/>
      <c r="BE7" s="186"/>
      <c r="BG7" s="135" t="s">
        <v>61</v>
      </c>
      <c r="BH7" s="142"/>
      <c r="BI7" s="142"/>
      <c r="BJ7" s="142"/>
      <c r="BK7" s="142"/>
      <c r="BL7" s="163" t="s">
        <v>70</v>
      </c>
    </row>
    <row r="8" spans="1:66" ht="0.95" customHeight="1" thickBot="1" x14ac:dyDescent="0.3">
      <c r="A8" s="81"/>
      <c r="B8" s="82"/>
      <c r="C8" s="177"/>
      <c r="D8" s="177"/>
      <c r="E8" s="177"/>
      <c r="F8" s="177"/>
      <c r="G8" s="263"/>
      <c r="H8" s="75"/>
      <c r="I8" s="70"/>
      <c r="J8" s="71"/>
      <c r="K8" s="71"/>
      <c r="L8" s="72"/>
      <c r="M8" s="140"/>
      <c r="N8" s="140"/>
      <c r="O8" s="140"/>
      <c r="P8" s="140"/>
      <c r="Q8" s="73"/>
      <c r="R8" s="73"/>
      <c r="S8" s="74"/>
      <c r="T8" s="586" t="s">
        <v>115</v>
      </c>
      <c r="U8" s="587"/>
      <c r="V8" s="587"/>
      <c r="W8" s="588"/>
      <c r="X8" s="74"/>
      <c r="Y8" s="74"/>
      <c r="Z8" s="74"/>
      <c r="AA8" s="74"/>
      <c r="AB8" s="74"/>
      <c r="AC8" s="74"/>
      <c r="AD8" s="74"/>
      <c r="AE8" s="74"/>
      <c r="AF8" s="74"/>
      <c r="AG8" s="74"/>
      <c r="AH8" s="74"/>
      <c r="AI8" s="74"/>
      <c r="AJ8" s="74"/>
      <c r="AK8" s="74"/>
      <c r="AL8" s="74"/>
      <c r="AM8" s="474"/>
      <c r="AN8" s="161"/>
      <c r="AO8" s="161"/>
      <c r="AP8" s="161"/>
      <c r="AQ8" s="161"/>
      <c r="AR8" s="161"/>
      <c r="AS8" s="161"/>
      <c r="AT8" s="161"/>
      <c r="AU8" s="161"/>
      <c r="AZ8" s="187"/>
      <c r="BA8" s="187"/>
      <c r="BB8" s="187"/>
      <c r="BC8" s="187"/>
      <c r="BD8" s="187"/>
      <c r="BE8" s="187"/>
      <c r="BG8" s="136"/>
      <c r="BH8" s="143"/>
      <c r="BI8" s="143"/>
      <c r="BJ8" s="143"/>
      <c r="BK8" s="143"/>
      <c r="BL8" s="166"/>
    </row>
    <row r="9" spans="1:66" s="129" customFormat="1" ht="15.95" customHeight="1" x14ac:dyDescent="0.25">
      <c r="A9" s="125" t="s">
        <v>95</v>
      </c>
      <c r="B9" s="84">
        <f>IF($I9&lt;&gt;"",IF(WEEKDAY($I9,2)&lt;6,IF(VLOOKUP(WEEKDAY($I9,2),InputUge,3)&gt;0,IF($A9="",VLOOKUP(WEEKDAY($I9,2),InputUge,3)+MAX(B$8:B8),IF($A9&lt;VLOOKUP(WEEKDAY($I9,2),InputUge,3),$A9+MAX(B$8:B8),VLOOKUP(WEEKDAY($I9,2),InputUge,3)+MAX(B$8:B8))),""),""),"")</f>
        <v>7.0666666666666664</v>
      </c>
      <c r="C9" s="144">
        <f>IF(B9&lt;0,-1,1)</f>
        <v>1</v>
      </c>
      <c r="D9" s="146">
        <f>FLOOR(B9,C9)</f>
        <v>7</v>
      </c>
      <c r="E9" s="146">
        <f>+B9-D9</f>
        <v>6.666666666666643E-2</v>
      </c>
      <c r="F9" s="146">
        <f>+E9/100*60</f>
        <v>3.9999999999999855E-2</v>
      </c>
      <c r="G9" s="261">
        <f t="shared" ref="G9:G39" si="0">+F9+D9</f>
        <v>7.04</v>
      </c>
      <c r="H9" s="126">
        <v>1</v>
      </c>
      <c r="I9" s="127">
        <f>+Apr!I38+1</f>
        <v>41395</v>
      </c>
      <c r="J9" s="489">
        <v>0.34826388888888887</v>
      </c>
      <c r="K9" s="489">
        <v>0.64236111111111105</v>
      </c>
      <c r="L9" s="490">
        <f>IF(K9&gt;0,ROUND(((K9-J9)*24)-SUM(BR9:BS9)+BT9,2)+IF(Fredagsfrokost="n",IF(WEEKDAY($I9,2)=5,IF(K9&gt;=0.5,IF(K9&lt;=13/24,0,0),0),0),0),IF(AW9&gt;0,AW9,""))</f>
        <v>7.06</v>
      </c>
      <c r="M9" s="491">
        <f>FLOOR(L9,1)</f>
        <v>7</v>
      </c>
      <c r="N9" s="491">
        <f>+L9-M9</f>
        <v>5.9999999999999609E-2</v>
      </c>
      <c r="O9" s="491">
        <f>+N9/100*60</f>
        <v>3.5999999999999761E-2</v>
      </c>
      <c r="P9" s="491">
        <f>IF(J9="","",O9+M9)</f>
        <v>7.0359999999999996</v>
      </c>
      <c r="Q9" s="643"/>
      <c r="R9" s="644"/>
      <c r="S9" s="644"/>
      <c r="T9" s="645"/>
      <c r="U9" s="455"/>
      <c r="V9" s="241">
        <f>FLOOR(U9,1)</f>
        <v>0</v>
      </c>
      <c r="W9" s="241">
        <f>+U9-V9</f>
        <v>0</v>
      </c>
      <c r="X9" s="241">
        <f>+W9/60*100</f>
        <v>0</v>
      </c>
      <c r="Y9" s="443">
        <f>+X9+V9</f>
        <v>0</v>
      </c>
      <c r="Z9" s="455"/>
      <c r="AA9" s="455"/>
      <c r="AB9" s="455"/>
      <c r="AC9" s="455"/>
      <c r="AD9" s="442"/>
      <c r="AE9" s="241">
        <f t="shared" ref="AE9:AE39" si="1">FLOOR(AD9,1)</f>
        <v>0</v>
      </c>
      <c r="AF9" s="241">
        <f>+AD9-AE9</f>
        <v>0</v>
      </c>
      <c r="AG9" s="241">
        <f t="shared" ref="AG9:AG39" si="2">+AF9/60*100</f>
        <v>0</v>
      </c>
      <c r="AH9" s="443">
        <f>+AG9+AE9</f>
        <v>0</v>
      </c>
      <c r="AI9" s="455"/>
      <c r="AJ9" s="455"/>
      <c r="AK9" s="455"/>
      <c r="AL9" s="455"/>
      <c r="AM9" s="476"/>
      <c r="AN9" s="241">
        <f t="shared" ref="AN9:AN38" si="3">FLOOR(AM9,1)</f>
        <v>0</v>
      </c>
      <c r="AO9" s="241">
        <f t="shared" ref="AO9:AO39" si="4">+AM9-AN9</f>
        <v>0</v>
      </c>
      <c r="AP9" s="241">
        <f t="shared" ref="AP9:AP39" si="5">+AO9/60*100</f>
        <v>0</v>
      </c>
      <c r="AQ9" s="443">
        <f>+AP9+AN9</f>
        <v>0</v>
      </c>
      <c r="AR9" s="444"/>
      <c r="AS9" s="444"/>
      <c r="AT9" s="444"/>
      <c r="AU9" s="456"/>
      <c r="AZ9" s="188"/>
      <c r="BA9" s="188"/>
      <c r="BB9" s="188"/>
      <c r="BC9" s="188"/>
      <c r="BD9" s="188"/>
      <c r="BE9" s="188"/>
      <c r="BF9"/>
      <c r="BG9" s="145">
        <f>IF($K9&gt;=0,+SUM(L$9:$L9)-$B9+Maj!$AZ$41+SUM(AQ$9:$AQ9)," ")</f>
        <v>-6.6666666666668206E-3</v>
      </c>
      <c r="BH9" s="144">
        <f>IF(BG9&lt;0,-1,1)</f>
        <v>-1</v>
      </c>
      <c r="BI9" s="146">
        <f>FLOOR(BG9,BH9)</f>
        <v>0</v>
      </c>
      <c r="BJ9" s="146">
        <f>+BG9-BI9</f>
        <v>-6.6666666666668206E-3</v>
      </c>
      <c r="BK9" s="146">
        <f>+BJ9/100*60</f>
        <v>-4.000000000000092E-3</v>
      </c>
      <c r="BL9" s="164"/>
      <c r="BM9" s="157">
        <f>+P9</f>
        <v>7.0359999999999996</v>
      </c>
      <c r="BN9">
        <f t="shared" ref="BN9:BN39" si="6">+IF(BM9="",1,2)</f>
        <v>2</v>
      </c>
    </row>
    <row r="10" spans="1:66" ht="15.95" customHeight="1" x14ac:dyDescent="0.25">
      <c r="A10" s="83"/>
      <c r="B10" s="84">
        <f>IF($I10&lt;&gt;"",IF(WEEKDAY($I10,2)&lt;6,IF(VLOOKUP(WEEKDAY($I10,2),InputUge,3)&gt;0,IF($A10="",VLOOKUP(WEEKDAY($I10,2),InputUge,3)+MAX(B$8:B9),IF($A10&lt;VLOOKUP(WEEKDAY($I10,2),InputUge,3),$A10+MAX(B$8:B9),VLOOKUP(WEEKDAY($I10,2),InputUge,3)+MAX(B$8:B9))),""),""),"")</f>
        <v>16.476666666666667</v>
      </c>
      <c r="C10" s="144">
        <f t="shared" ref="C10:C39" si="7">IF(B10&lt;0,-1,1)</f>
        <v>1</v>
      </c>
      <c r="D10" s="146">
        <f t="shared" ref="D10:D39" si="8">FLOOR(B10,C10)</f>
        <v>16</v>
      </c>
      <c r="E10" s="146">
        <f t="shared" ref="E10:E39" si="9">+B10-D10</f>
        <v>0.47666666666666657</v>
      </c>
      <c r="F10" s="146">
        <f t="shared" ref="F10:F39" si="10">+E10/100*60</f>
        <v>0.28599999999999992</v>
      </c>
      <c r="G10" s="261">
        <f t="shared" si="0"/>
        <v>16.286000000000001</v>
      </c>
      <c r="H10" s="4">
        <v>2</v>
      </c>
      <c r="I10" s="16">
        <f t="shared" ref="I10:I39" si="11">+I9+1</f>
        <v>41396</v>
      </c>
      <c r="J10" s="6">
        <v>0.34791666666666665</v>
      </c>
      <c r="K10" s="6">
        <v>0.73981481481481481</v>
      </c>
      <c r="L10" s="5">
        <f>IF(K10&gt;0,ROUND(((K10-J10)*24)-SUM(BR10:BS10)+BT10,2)+IF(Fredagsfrokost="n",IF(WEEKDAY($I10,2)=5,IF(K10&gt;=0.5,IF(K10&lt;=13/24,0,0),0),0),0),IF(AW10&gt;0,AW10,""))</f>
        <v>9.41</v>
      </c>
      <c r="M10" s="141">
        <f>FLOOR(L10,1)</f>
        <v>9</v>
      </c>
      <c r="N10" s="141">
        <f>+L10-M10</f>
        <v>0.41000000000000014</v>
      </c>
      <c r="O10" s="141">
        <f>+N10/100*60</f>
        <v>0.24600000000000008</v>
      </c>
      <c r="P10" s="141">
        <f>IF(J10="","",O10+M10)</f>
        <v>9.2460000000000004</v>
      </c>
      <c r="Q10" s="572"/>
      <c r="R10" s="573"/>
      <c r="S10" s="573"/>
      <c r="T10" s="574"/>
      <c r="U10" s="455"/>
      <c r="V10" s="241">
        <f>FLOOR(U10,1)</f>
        <v>0</v>
      </c>
      <c r="W10" s="241">
        <f>+U10-V10</f>
        <v>0</v>
      </c>
      <c r="X10" s="241">
        <f>+W10/60*100</f>
        <v>0</v>
      </c>
      <c r="Y10" s="443">
        <f>+X10+V10</f>
        <v>0</v>
      </c>
      <c r="Z10" s="455"/>
      <c r="AA10" s="455"/>
      <c r="AB10" s="455"/>
      <c r="AC10" s="455"/>
      <c r="AD10" s="442"/>
      <c r="AE10" s="241">
        <f t="shared" si="1"/>
        <v>0</v>
      </c>
      <c r="AF10" s="241">
        <f>+AD10-AE10</f>
        <v>0</v>
      </c>
      <c r="AG10" s="241">
        <f t="shared" si="2"/>
        <v>0</v>
      </c>
      <c r="AH10" s="443">
        <f>+AG10+AE10</f>
        <v>0</v>
      </c>
      <c r="AI10" s="455"/>
      <c r="AJ10" s="455"/>
      <c r="AK10" s="455"/>
      <c r="AL10" s="455"/>
      <c r="AM10" s="476"/>
      <c r="AN10" s="241">
        <f t="shared" si="3"/>
        <v>0</v>
      </c>
      <c r="AO10" s="241">
        <f t="shared" si="4"/>
        <v>0</v>
      </c>
      <c r="AP10" s="241">
        <f t="shared" si="5"/>
        <v>0</v>
      </c>
      <c r="AQ10" s="443">
        <f t="shared" ref="AQ10:AQ39" si="12">+AP10+AN10</f>
        <v>0</v>
      </c>
      <c r="AR10" s="444"/>
      <c r="AS10" s="444"/>
      <c r="AT10" s="444"/>
      <c r="AU10" s="456"/>
      <c r="AZ10" s="189"/>
      <c r="BA10" s="189"/>
      <c r="BB10" s="189"/>
      <c r="BC10" s="189"/>
      <c r="BD10" s="189"/>
      <c r="BE10" s="189"/>
      <c r="BG10" s="145">
        <f>IF($K10&gt;=0,+SUM(L$9:$L10)-$B10+Maj!$AZ$41+SUM(AQ$9:$AQ10)," ")</f>
        <v>-6.6666666666677088E-3</v>
      </c>
      <c r="BH10" s="144">
        <f>IF(BG10&lt;0,-1,1)</f>
        <v>-1</v>
      </c>
      <c r="BI10" s="146">
        <f>FLOOR(BG10,BH10)</f>
        <v>0</v>
      </c>
      <c r="BJ10" s="146">
        <f>+BG10-BI10</f>
        <v>-6.6666666666677088E-3</v>
      </c>
      <c r="BK10" s="146">
        <f>+BJ10/100*60</f>
        <v>-4.0000000000006255E-3</v>
      </c>
      <c r="BL10" s="164">
        <f>IF(BN10=2,+BK10+BI10,"")</f>
        <v>-4.0000000000006255E-3</v>
      </c>
      <c r="BM10" s="157">
        <f>+P10</f>
        <v>9.2460000000000004</v>
      </c>
      <c r="BN10">
        <f t="shared" si="6"/>
        <v>2</v>
      </c>
    </row>
    <row r="11" spans="1:66" ht="15.95" customHeight="1" x14ac:dyDescent="0.25">
      <c r="A11" s="83"/>
      <c r="B11" s="84">
        <f>IF($I11&lt;&gt;"",IF(WEEKDAY($I11,2)&lt;6,IF(VLOOKUP(WEEKDAY($I11,2),InputUge,3)&gt;0,IF($A11="",VLOOKUP(WEEKDAY($I11,2),InputUge,3)+MAX(B$8:B10),IF($A11&lt;VLOOKUP(WEEKDAY($I11,2),InputUge,3),$A11+MAX(B$8:B10),VLOOKUP(WEEKDAY($I11,2),InputUge,3)+MAX(B$8:B10))),""),""),"")</f>
        <v>22.876666666666665</v>
      </c>
      <c r="C11" s="144">
        <f t="shared" si="7"/>
        <v>1</v>
      </c>
      <c r="D11" s="146">
        <f t="shared" si="8"/>
        <v>22</v>
      </c>
      <c r="E11" s="146">
        <f t="shared" si="9"/>
        <v>0.87666666666666515</v>
      </c>
      <c r="F11" s="146">
        <f t="shared" si="10"/>
        <v>0.52599999999999913</v>
      </c>
      <c r="G11" s="261">
        <f t="shared" si="0"/>
        <v>22.526</v>
      </c>
      <c r="H11" s="4">
        <v>3</v>
      </c>
      <c r="I11" s="16">
        <f t="shared" si="11"/>
        <v>41397</v>
      </c>
      <c r="J11" s="6">
        <v>0.34791666666666665</v>
      </c>
      <c r="K11" s="6">
        <v>0.61458333333333337</v>
      </c>
      <c r="L11" s="5">
        <f>IF(K11&gt;0,ROUND(((K11-J11)*24)-SUM(BR11:BS11)+BT11,2)+IF(Fredagsfrokost="n",IF(WEEKDAY($I11,2)=5,IF(K11&gt;=0.5,IF(K11&lt;=13/24,0,0),0),0),0),IF(AW11&gt;0,AW11,""))</f>
        <v>6.4</v>
      </c>
      <c r="M11" s="141">
        <f>FLOOR(L11,1)</f>
        <v>6</v>
      </c>
      <c r="N11" s="141">
        <f>+L11-M11</f>
        <v>0.40000000000000036</v>
      </c>
      <c r="O11" s="141">
        <f>+N11/100*60</f>
        <v>0.24000000000000021</v>
      </c>
      <c r="P11" s="162">
        <f>IF(J11="","",O11+M11)</f>
        <v>6.24</v>
      </c>
      <c r="Q11" s="572"/>
      <c r="R11" s="573"/>
      <c r="S11" s="573"/>
      <c r="T11" s="574"/>
      <c r="U11" s="442"/>
      <c r="V11" s="241">
        <f t="shared" ref="V11:V28" si="13">FLOOR(U11,1)</f>
        <v>0</v>
      </c>
      <c r="W11" s="241">
        <f t="shared" ref="W11:W28" si="14">+U11-V11</f>
        <v>0</v>
      </c>
      <c r="X11" s="241">
        <f t="shared" ref="X11:X28" si="15">+W11/60*100</f>
        <v>0</v>
      </c>
      <c r="Y11" s="443">
        <f t="shared" ref="Y11:Y28" si="16">+X11+V11</f>
        <v>0</v>
      </c>
      <c r="Z11" s="442"/>
      <c r="AA11" s="442"/>
      <c r="AB11" s="442"/>
      <c r="AC11" s="442"/>
      <c r="AD11" s="442"/>
      <c r="AE11" s="241">
        <f t="shared" si="1"/>
        <v>0</v>
      </c>
      <c r="AF11" s="241">
        <f t="shared" ref="AF11:AF29" si="17">+AD11-AE11</f>
        <v>0</v>
      </c>
      <c r="AG11" s="241">
        <f t="shared" si="2"/>
        <v>0</v>
      </c>
      <c r="AH11" s="443">
        <f t="shared" ref="AH11:AH29" si="18">+AG11+AE11</f>
        <v>0</v>
      </c>
      <c r="AI11" s="442"/>
      <c r="AJ11" s="442"/>
      <c r="AK11" s="442"/>
      <c r="AL11" s="442"/>
      <c r="AM11" s="476"/>
      <c r="AN11" s="241">
        <f t="shared" si="3"/>
        <v>0</v>
      </c>
      <c r="AO11" s="241">
        <f t="shared" si="4"/>
        <v>0</v>
      </c>
      <c r="AP11" s="241">
        <f t="shared" si="5"/>
        <v>0</v>
      </c>
      <c r="AQ11" s="443">
        <f t="shared" si="12"/>
        <v>0</v>
      </c>
      <c r="AR11" s="444"/>
      <c r="AS11" s="444"/>
      <c r="AT11" s="444"/>
      <c r="AU11" s="445"/>
      <c r="AZ11" s="189"/>
      <c r="BA11" s="189"/>
      <c r="BB11" s="189"/>
      <c r="BC11" s="189"/>
      <c r="BD11" s="189"/>
      <c r="BE11" s="189"/>
      <c r="BG11" s="145">
        <f>IF($K11&gt;=0,+SUM(L$9:$L11)-$B11+Maj!$AZ$41+SUM(AQ$9:$AQ11)," ")</f>
        <v>-6.6666666666677088E-3</v>
      </c>
      <c r="BH11" s="144">
        <f t="shared" ref="BH11:BH39" si="19">IF(BG11&lt;0,-1,1)</f>
        <v>-1</v>
      </c>
      <c r="BI11" s="146">
        <f t="shared" ref="BI11:BI39" si="20">FLOOR(BG11,BH11)</f>
        <v>0</v>
      </c>
      <c r="BJ11" s="146">
        <f t="shared" ref="BJ11:BJ39" si="21">+BG11-BI11</f>
        <v>-6.6666666666677088E-3</v>
      </c>
      <c r="BK11" s="146">
        <f t="shared" ref="BK11:BK39" si="22">+BJ11/100*60</f>
        <v>-4.0000000000006255E-3</v>
      </c>
      <c r="BL11" s="164">
        <f t="shared" ref="BL11:BL39" si="23">IF(BN11=2,+BK11+BI11,"")</f>
        <v>-4.0000000000006255E-3</v>
      </c>
      <c r="BM11" s="157">
        <f t="shared" ref="BM11:BM39" si="24">+P11</f>
        <v>6.24</v>
      </c>
      <c r="BN11">
        <f t="shared" si="6"/>
        <v>2</v>
      </c>
    </row>
    <row r="12" spans="1:66" ht="15.95" customHeight="1" x14ac:dyDescent="0.25">
      <c r="A12" s="125"/>
      <c r="B12" s="84"/>
      <c r="C12" s="144">
        <f t="shared" si="7"/>
        <v>1</v>
      </c>
      <c r="D12" s="146">
        <f t="shared" si="8"/>
        <v>0</v>
      </c>
      <c r="E12" s="146">
        <f t="shared" si="9"/>
        <v>0</v>
      </c>
      <c r="F12" s="146">
        <f t="shared" si="10"/>
        <v>0</v>
      </c>
      <c r="G12" s="261"/>
      <c r="H12" s="4">
        <v>4</v>
      </c>
      <c r="I12" s="379">
        <f t="shared" si="11"/>
        <v>41398</v>
      </c>
      <c r="J12" s="6"/>
      <c r="K12" s="6"/>
      <c r="L12" s="5"/>
      <c r="M12" s="141">
        <f>FLOOR(L12,1)</f>
        <v>0</v>
      </c>
      <c r="N12" s="141">
        <f>+L12-M12</f>
        <v>0</v>
      </c>
      <c r="O12" s="141">
        <f>+N12/100*60</f>
        <v>0</v>
      </c>
      <c r="P12" s="141" t="str">
        <f>IF(J12="","",O12+M12)</f>
        <v/>
      </c>
      <c r="Q12" s="572"/>
      <c r="R12" s="573"/>
      <c r="S12" s="573"/>
      <c r="T12" s="574"/>
      <c r="U12" s="442"/>
      <c r="V12" s="241">
        <f t="shared" si="13"/>
        <v>0</v>
      </c>
      <c r="W12" s="241">
        <f t="shared" si="14"/>
        <v>0</v>
      </c>
      <c r="X12" s="241">
        <f t="shared" si="15"/>
        <v>0</v>
      </c>
      <c r="Y12" s="443">
        <f t="shared" si="16"/>
        <v>0</v>
      </c>
      <c r="Z12" s="442"/>
      <c r="AA12" s="442"/>
      <c r="AB12" s="442"/>
      <c r="AC12" s="442"/>
      <c r="AD12" s="442"/>
      <c r="AE12" s="241">
        <f t="shared" si="1"/>
        <v>0</v>
      </c>
      <c r="AF12" s="241">
        <f t="shared" si="17"/>
        <v>0</v>
      </c>
      <c r="AG12" s="241">
        <f t="shared" si="2"/>
        <v>0</v>
      </c>
      <c r="AH12" s="443">
        <f t="shared" si="18"/>
        <v>0</v>
      </c>
      <c r="AI12" s="442"/>
      <c r="AJ12" s="442"/>
      <c r="AK12" s="442"/>
      <c r="AL12" s="442"/>
      <c r="AM12" s="476"/>
      <c r="AN12" s="241">
        <f t="shared" si="3"/>
        <v>0</v>
      </c>
      <c r="AO12" s="241">
        <f t="shared" si="4"/>
        <v>0</v>
      </c>
      <c r="AP12" s="241">
        <f t="shared" si="5"/>
        <v>0</v>
      </c>
      <c r="AQ12" s="443">
        <f t="shared" si="12"/>
        <v>0</v>
      </c>
      <c r="AR12" s="444"/>
      <c r="AS12" s="444"/>
      <c r="AT12" s="444"/>
      <c r="AU12" s="445"/>
      <c r="AZ12" s="189"/>
      <c r="BA12" s="189"/>
      <c r="BB12" s="189"/>
      <c r="BC12" s="189"/>
      <c r="BD12" s="189"/>
      <c r="BE12" s="189"/>
      <c r="BG12" s="145">
        <f>IF($K12&gt;=0,+SUM(L$9:$L12)-$B12+Maj!$AZ$41+SUM(AQ$9:$AQ12)," ")</f>
        <v>22.869999999999997</v>
      </c>
      <c r="BH12" s="144">
        <f t="shared" si="19"/>
        <v>1</v>
      </c>
      <c r="BI12" s="146">
        <f t="shared" si="20"/>
        <v>22</v>
      </c>
      <c r="BJ12" s="146">
        <f t="shared" si="21"/>
        <v>0.86999999999999744</v>
      </c>
      <c r="BK12" s="146">
        <f t="shared" si="22"/>
        <v>0.52199999999999847</v>
      </c>
      <c r="BL12" s="164" t="str">
        <f t="shared" si="23"/>
        <v/>
      </c>
      <c r="BM12" s="157" t="str">
        <f t="shared" si="24"/>
        <v/>
      </c>
      <c r="BN12">
        <f t="shared" si="6"/>
        <v>1</v>
      </c>
    </row>
    <row r="13" spans="1:66" ht="15.95" customHeight="1" x14ac:dyDescent="0.25">
      <c r="A13" s="83"/>
      <c r="B13" s="84" t="str">
        <f>IF($I13&lt;&gt;"",IF(WEEKDAY($I13,2)&lt;6,IF(VLOOKUP(WEEKDAY($I13,2),InputUge,3)&gt;0,IF($A13="",VLOOKUP(WEEKDAY($I13,2),InputUge,3)+MAX(B$8:B12),IF($A13&lt;VLOOKUP(WEEKDAY($I13,2),InputUge,3),$A13+MAX(B$8:B12),VLOOKUP(WEEKDAY($I13,2),InputUge,3)+MAX(B$8:B12))),""),""),"")</f>
        <v/>
      </c>
      <c r="C13" s="144">
        <f t="shared" si="7"/>
        <v>1</v>
      </c>
      <c r="D13" s="146" t="e">
        <f t="shared" si="8"/>
        <v>#VALUE!</v>
      </c>
      <c r="E13" s="146" t="e">
        <f t="shared" si="9"/>
        <v>#VALUE!</v>
      </c>
      <c r="F13" s="146" t="e">
        <f t="shared" si="10"/>
        <v>#VALUE!</v>
      </c>
      <c r="G13" s="261"/>
      <c r="H13" s="4">
        <v>5</v>
      </c>
      <c r="I13" s="16">
        <f t="shared" si="11"/>
        <v>41399</v>
      </c>
      <c r="J13" s="6"/>
      <c r="K13" s="6"/>
      <c r="L13" s="5"/>
      <c r="M13" s="141"/>
      <c r="N13" s="141"/>
      <c r="O13" s="141"/>
      <c r="P13" s="141"/>
      <c r="Q13" s="572"/>
      <c r="R13" s="573"/>
      <c r="S13" s="573"/>
      <c r="T13" s="574"/>
      <c r="U13" s="442"/>
      <c r="V13" s="241">
        <f t="shared" si="13"/>
        <v>0</v>
      </c>
      <c r="W13" s="241">
        <f t="shared" si="14"/>
        <v>0</v>
      </c>
      <c r="X13" s="241">
        <f t="shared" si="15"/>
        <v>0</v>
      </c>
      <c r="Y13" s="443">
        <f t="shared" si="16"/>
        <v>0</v>
      </c>
      <c r="Z13" s="442"/>
      <c r="AA13" s="442"/>
      <c r="AB13" s="442"/>
      <c r="AC13" s="442"/>
      <c r="AD13" s="442"/>
      <c r="AE13" s="241">
        <f t="shared" si="1"/>
        <v>0</v>
      </c>
      <c r="AF13" s="241">
        <f t="shared" si="17"/>
        <v>0</v>
      </c>
      <c r="AG13" s="241">
        <f t="shared" si="2"/>
        <v>0</v>
      </c>
      <c r="AH13" s="443">
        <f t="shared" si="18"/>
        <v>0</v>
      </c>
      <c r="AI13" s="442"/>
      <c r="AJ13" s="442"/>
      <c r="AK13" s="442"/>
      <c r="AL13" s="442"/>
      <c r="AM13" s="476"/>
      <c r="AN13" s="241">
        <f t="shared" si="3"/>
        <v>0</v>
      </c>
      <c r="AO13" s="241">
        <f t="shared" si="4"/>
        <v>0</v>
      </c>
      <c r="AP13" s="241">
        <f t="shared" si="5"/>
        <v>0</v>
      </c>
      <c r="AQ13" s="443">
        <f t="shared" si="12"/>
        <v>0</v>
      </c>
      <c r="AR13" s="444"/>
      <c r="AS13" s="444"/>
      <c r="AT13" s="444"/>
      <c r="AU13" s="241"/>
      <c r="AZ13" s="189"/>
      <c r="BA13" s="189"/>
      <c r="BB13" s="189"/>
      <c r="BC13" s="189"/>
      <c r="BD13" s="189"/>
      <c r="BE13" s="189"/>
      <c r="BG13" s="145" t="e">
        <f>IF($K13&gt;=0,+SUM(L$9:$L13)-$B13+Maj!$AZ$41+SUM(AQ$9:$AQ13)," ")</f>
        <v>#VALUE!</v>
      </c>
      <c r="BH13" s="144" t="e">
        <f t="shared" si="19"/>
        <v>#VALUE!</v>
      </c>
      <c r="BI13" s="146" t="e">
        <f t="shared" si="20"/>
        <v>#VALUE!</v>
      </c>
      <c r="BJ13" s="146" t="e">
        <f t="shared" si="21"/>
        <v>#VALUE!</v>
      </c>
      <c r="BK13" s="146" t="e">
        <f t="shared" si="22"/>
        <v>#VALUE!</v>
      </c>
      <c r="BL13" s="164"/>
      <c r="BM13" s="157">
        <f t="shared" si="24"/>
        <v>0</v>
      </c>
      <c r="BN13">
        <f t="shared" si="6"/>
        <v>2</v>
      </c>
    </row>
    <row r="14" spans="1:66" ht="15.95" customHeight="1" x14ac:dyDescent="0.25">
      <c r="A14" s="83"/>
      <c r="B14" s="84">
        <f>IF($I14&lt;&gt;"",IF(WEEKDAY($I14,2)&lt;6,IF(VLOOKUP(WEEKDAY($I14,2),InputUge,3)&gt;0,IF($A14="",VLOOKUP(WEEKDAY($I14,2),InputUge,3)+MAX(B$8:B13),IF($A14&lt;VLOOKUP(WEEKDAY($I14,2),InputUge,3),$A14+MAX(B$8:B13),VLOOKUP(WEEKDAY($I14,2),InputUge,3)+MAX(B$8:B13))),""),""),"")</f>
        <v>29.939999999999998</v>
      </c>
      <c r="C14" s="144">
        <f t="shared" si="7"/>
        <v>1</v>
      </c>
      <c r="D14" s="146">
        <f t="shared" si="8"/>
        <v>29</v>
      </c>
      <c r="E14" s="146">
        <f t="shared" si="9"/>
        <v>0.93999999999999773</v>
      </c>
      <c r="F14" s="146">
        <f t="shared" si="10"/>
        <v>0.56399999999999872</v>
      </c>
      <c r="G14" s="261">
        <f t="shared" si="0"/>
        <v>29.564</v>
      </c>
      <c r="H14" s="4">
        <v>6</v>
      </c>
      <c r="I14" s="16">
        <f t="shared" si="11"/>
        <v>41400</v>
      </c>
      <c r="J14" s="6">
        <v>0.34791666666666665</v>
      </c>
      <c r="K14" s="6">
        <v>0.64236111111111105</v>
      </c>
      <c r="L14" s="5">
        <f t="shared" ref="L14:L19" si="25">IF(K14&gt;0,ROUND(((K14-J14)*24)-SUM(BR14:BS14)+BT14,2)+IF(Fredagsfrokost="n",IF(WEEKDAY($I14,2)=5,IF(K14&gt;=0.5,IF(K14&lt;=13/24,0,0),0),0),0),IF(AW14&gt;0,AW14,""))</f>
        <v>7.07</v>
      </c>
      <c r="M14" s="141">
        <f t="shared" ref="M14:M19" si="26">FLOOR(L14,1)</f>
        <v>7</v>
      </c>
      <c r="N14" s="141">
        <f t="shared" ref="N14:N19" si="27">+L14-M14</f>
        <v>7.0000000000000284E-2</v>
      </c>
      <c r="O14" s="141">
        <f t="shared" ref="O14:O19" si="28">+N14/100*60</f>
        <v>4.2000000000000169E-2</v>
      </c>
      <c r="P14" s="162">
        <f t="shared" ref="P14:P19" si="29">IF(J14="","",O14+M14)</f>
        <v>7.0419999999999998</v>
      </c>
      <c r="Q14" s="572"/>
      <c r="R14" s="573"/>
      <c r="S14" s="573"/>
      <c r="T14" s="574"/>
      <c r="U14" s="442"/>
      <c r="V14" s="241">
        <f t="shared" si="13"/>
        <v>0</v>
      </c>
      <c r="W14" s="241">
        <f t="shared" si="14"/>
        <v>0</v>
      </c>
      <c r="X14" s="241">
        <f t="shared" si="15"/>
        <v>0</v>
      </c>
      <c r="Y14" s="443">
        <f t="shared" si="16"/>
        <v>0</v>
      </c>
      <c r="Z14" s="442"/>
      <c r="AA14" s="442"/>
      <c r="AB14" s="442"/>
      <c r="AC14" s="442"/>
      <c r="AD14" s="442"/>
      <c r="AE14" s="241">
        <f t="shared" si="1"/>
        <v>0</v>
      </c>
      <c r="AF14" s="241">
        <f t="shared" si="17"/>
        <v>0</v>
      </c>
      <c r="AG14" s="241">
        <f t="shared" si="2"/>
        <v>0</v>
      </c>
      <c r="AH14" s="443">
        <f t="shared" si="18"/>
        <v>0</v>
      </c>
      <c r="AI14" s="442"/>
      <c r="AJ14" s="442"/>
      <c r="AK14" s="442"/>
      <c r="AL14" s="442"/>
      <c r="AM14" s="476"/>
      <c r="AN14" s="241">
        <f t="shared" si="3"/>
        <v>0</v>
      </c>
      <c r="AO14" s="241">
        <f t="shared" si="4"/>
        <v>0</v>
      </c>
      <c r="AP14" s="241">
        <f t="shared" si="5"/>
        <v>0</v>
      </c>
      <c r="AQ14" s="443">
        <f t="shared" si="12"/>
        <v>0</v>
      </c>
      <c r="AR14" s="444"/>
      <c r="AS14" s="444"/>
      <c r="AT14" s="444"/>
      <c r="AU14" s="445"/>
      <c r="AZ14" s="189"/>
      <c r="BA14" s="189"/>
      <c r="BB14" s="189"/>
      <c r="BC14" s="189"/>
      <c r="BD14" s="189"/>
      <c r="BE14" s="189"/>
      <c r="BG14" s="145">
        <f>IF($K14&gt;=0,+SUM(L$9:$L14)-$B14+Maj!$AZ$41+SUM(AQ$9:$AQ14)," ")</f>
        <v>0</v>
      </c>
      <c r="BH14" s="144">
        <f t="shared" si="19"/>
        <v>1</v>
      </c>
      <c r="BI14" s="146">
        <f t="shared" si="20"/>
        <v>0</v>
      </c>
      <c r="BJ14" s="146">
        <f t="shared" si="21"/>
        <v>0</v>
      </c>
      <c r="BK14" s="146">
        <f t="shared" si="22"/>
        <v>0</v>
      </c>
      <c r="BL14" s="164">
        <f>IF(BN14=2,+BK14+BI14,"")</f>
        <v>0</v>
      </c>
      <c r="BM14" s="157">
        <f t="shared" si="24"/>
        <v>7.0419999999999998</v>
      </c>
      <c r="BN14">
        <f t="shared" si="6"/>
        <v>2</v>
      </c>
    </row>
    <row r="15" spans="1:66" ht="15.95" customHeight="1" x14ac:dyDescent="0.25">
      <c r="A15" s="83"/>
      <c r="B15" s="84">
        <f>IF($I15&lt;&gt;"",IF(WEEKDAY($I15,2)&lt;6,IF(VLOOKUP(WEEKDAY($I15,2),InputUge,3)&gt;0,IF($A15="",VLOOKUP(WEEKDAY($I15,2),InputUge,3)+MAX(B$8:B14),IF($A15&lt;VLOOKUP(WEEKDAY($I15,2),InputUge,3),$A15+MAX(B$8:B14),VLOOKUP(WEEKDAY($I15,2),InputUge,3)+MAX(B$8:B14))),""),""),"")</f>
        <v>37.006666666666661</v>
      </c>
      <c r="C15" s="144">
        <f t="shared" si="7"/>
        <v>1</v>
      </c>
      <c r="D15" s="146">
        <f t="shared" si="8"/>
        <v>37</v>
      </c>
      <c r="E15" s="146">
        <f t="shared" si="9"/>
        <v>6.6666666666606034E-3</v>
      </c>
      <c r="F15" s="146">
        <f t="shared" si="10"/>
        <v>3.9999999999963624E-3</v>
      </c>
      <c r="G15" s="261">
        <f t="shared" si="0"/>
        <v>37.003999999999998</v>
      </c>
      <c r="H15" s="4">
        <v>7</v>
      </c>
      <c r="I15" s="16">
        <f t="shared" si="11"/>
        <v>41401</v>
      </c>
      <c r="J15" s="6">
        <v>0.34791666666666665</v>
      </c>
      <c r="K15" s="6">
        <v>0.64236111111111105</v>
      </c>
      <c r="L15" s="5">
        <f t="shared" si="25"/>
        <v>7.07</v>
      </c>
      <c r="M15" s="141">
        <f t="shared" si="26"/>
        <v>7</v>
      </c>
      <c r="N15" s="141">
        <f t="shared" si="27"/>
        <v>7.0000000000000284E-2</v>
      </c>
      <c r="O15" s="141">
        <f t="shared" si="28"/>
        <v>4.2000000000000169E-2</v>
      </c>
      <c r="P15" s="162">
        <f t="shared" si="29"/>
        <v>7.0419999999999998</v>
      </c>
      <c r="Q15" s="572"/>
      <c r="R15" s="573"/>
      <c r="S15" s="573"/>
      <c r="T15" s="574"/>
      <c r="U15" s="442"/>
      <c r="V15" s="241">
        <f t="shared" si="13"/>
        <v>0</v>
      </c>
      <c r="W15" s="241">
        <f t="shared" si="14"/>
        <v>0</v>
      </c>
      <c r="X15" s="241">
        <f t="shared" si="15"/>
        <v>0</v>
      </c>
      <c r="Y15" s="443">
        <f t="shared" si="16"/>
        <v>0</v>
      </c>
      <c r="Z15" s="442"/>
      <c r="AA15" s="442"/>
      <c r="AB15" s="442"/>
      <c r="AC15" s="442"/>
      <c r="AD15" s="442"/>
      <c r="AE15" s="241">
        <f t="shared" si="1"/>
        <v>0</v>
      </c>
      <c r="AF15" s="241">
        <f t="shared" si="17"/>
        <v>0</v>
      </c>
      <c r="AG15" s="241">
        <f t="shared" si="2"/>
        <v>0</v>
      </c>
      <c r="AH15" s="443">
        <f t="shared" si="18"/>
        <v>0</v>
      </c>
      <c r="AI15" s="442"/>
      <c r="AJ15" s="442"/>
      <c r="AK15" s="442"/>
      <c r="AL15" s="442"/>
      <c r="AM15" s="476"/>
      <c r="AN15" s="241">
        <f t="shared" si="3"/>
        <v>0</v>
      </c>
      <c r="AO15" s="241">
        <f t="shared" si="4"/>
        <v>0</v>
      </c>
      <c r="AP15" s="241">
        <f t="shared" si="5"/>
        <v>0</v>
      </c>
      <c r="AQ15" s="443">
        <f t="shared" si="12"/>
        <v>0</v>
      </c>
      <c r="AR15" s="444"/>
      <c r="AS15" s="444"/>
      <c r="AT15" s="444"/>
      <c r="AU15" s="445"/>
      <c r="AZ15" s="189"/>
      <c r="BA15" s="189"/>
      <c r="BB15" s="189"/>
      <c r="BC15" s="189"/>
      <c r="BD15" s="189"/>
      <c r="BE15" s="189"/>
      <c r="BG15" s="145">
        <f>IF($K15&gt;=0,+SUM(L$9:$L15)-$B15+Maj!$AZ$41+SUM(AQ$9:$AQ15)," ")</f>
        <v>3.3333333333374071E-3</v>
      </c>
      <c r="BH15" s="144">
        <f t="shared" si="19"/>
        <v>1</v>
      </c>
      <c r="BI15" s="146">
        <f t="shared" si="20"/>
        <v>0</v>
      </c>
      <c r="BJ15" s="146">
        <f t="shared" si="21"/>
        <v>3.3333333333374071E-3</v>
      </c>
      <c r="BK15" s="146">
        <f t="shared" si="22"/>
        <v>2.0000000000024443E-3</v>
      </c>
      <c r="BL15" s="164">
        <f t="shared" si="23"/>
        <v>2.0000000000024443E-3</v>
      </c>
      <c r="BM15" s="157">
        <f t="shared" si="24"/>
        <v>7.0419999999999998</v>
      </c>
      <c r="BN15">
        <f t="shared" si="6"/>
        <v>2</v>
      </c>
    </row>
    <row r="16" spans="1:66" ht="15.95" customHeight="1" x14ac:dyDescent="0.25">
      <c r="A16" s="125"/>
      <c r="B16" s="84">
        <f>IF($I16&lt;&gt;"",IF(WEEKDAY($I16,2)&lt;6,IF(VLOOKUP(WEEKDAY($I16,2),InputUge,3)&gt;0,IF($A16="",VLOOKUP(WEEKDAY($I16,2),InputUge,3)+MAX(B$8:B15),IF($A16&lt;VLOOKUP(WEEKDAY($I16,2),InputUge,3),$A16+MAX(B$8:B15),VLOOKUP(WEEKDAY($I16,2),InputUge,3)+MAX(B$8:B15))),""),""),"")</f>
        <v>44.073333333333323</v>
      </c>
      <c r="C16" s="144">
        <f t="shared" si="7"/>
        <v>1</v>
      </c>
      <c r="D16" s="146">
        <f t="shared" si="8"/>
        <v>44</v>
      </c>
      <c r="E16" s="146">
        <f t="shared" si="9"/>
        <v>7.333333333332348E-2</v>
      </c>
      <c r="F16" s="146">
        <f t="shared" si="10"/>
        <v>4.3999999999994086E-2</v>
      </c>
      <c r="G16" s="261">
        <f t="shared" si="0"/>
        <v>44.043999999999997</v>
      </c>
      <c r="H16" s="4">
        <v>8</v>
      </c>
      <c r="I16" s="16">
        <f t="shared" si="11"/>
        <v>41402</v>
      </c>
      <c r="J16" s="6">
        <v>0.34826388888888887</v>
      </c>
      <c r="K16" s="6">
        <v>0.64236111111111105</v>
      </c>
      <c r="L16" s="5">
        <f t="shared" si="25"/>
        <v>7.06</v>
      </c>
      <c r="M16" s="141">
        <f t="shared" si="26"/>
        <v>7</v>
      </c>
      <c r="N16" s="141">
        <f t="shared" si="27"/>
        <v>5.9999999999999609E-2</v>
      </c>
      <c r="O16" s="141">
        <f t="shared" si="28"/>
        <v>3.5999999999999761E-2</v>
      </c>
      <c r="P16" s="162">
        <f t="shared" si="29"/>
        <v>7.0359999999999996</v>
      </c>
      <c r="Q16" s="572"/>
      <c r="R16" s="573"/>
      <c r="S16" s="573"/>
      <c r="T16" s="574"/>
      <c r="U16" s="442"/>
      <c r="V16" s="241">
        <f t="shared" si="13"/>
        <v>0</v>
      </c>
      <c r="W16" s="241">
        <f t="shared" si="14"/>
        <v>0</v>
      </c>
      <c r="X16" s="241">
        <f t="shared" si="15"/>
        <v>0</v>
      </c>
      <c r="Y16" s="443">
        <f t="shared" si="16"/>
        <v>0</v>
      </c>
      <c r="Z16" s="442"/>
      <c r="AA16" s="442"/>
      <c r="AB16" s="442"/>
      <c r="AC16" s="442"/>
      <c r="AD16" s="442"/>
      <c r="AE16" s="241">
        <f t="shared" si="1"/>
        <v>0</v>
      </c>
      <c r="AF16" s="241">
        <f t="shared" si="17"/>
        <v>0</v>
      </c>
      <c r="AG16" s="241">
        <f t="shared" si="2"/>
        <v>0</v>
      </c>
      <c r="AH16" s="443">
        <f t="shared" si="18"/>
        <v>0</v>
      </c>
      <c r="AI16" s="442"/>
      <c r="AJ16" s="442"/>
      <c r="AK16" s="442"/>
      <c r="AL16" s="442"/>
      <c r="AM16" s="476"/>
      <c r="AN16" s="241">
        <f t="shared" si="3"/>
        <v>0</v>
      </c>
      <c r="AO16" s="241">
        <f t="shared" si="4"/>
        <v>0</v>
      </c>
      <c r="AP16" s="241">
        <f t="shared" si="5"/>
        <v>0</v>
      </c>
      <c r="AQ16" s="443">
        <f t="shared" si="12"/>
        <v>0</v>
      </c>
      <c r="AR16" s="444"/>
      <c r="AS16" s="444"/>
      <c r="AT16" s="444"/>
      <c r="AU16" s="445"/>
      <c r="AZ16" s="189"/>
      <c r="BA16" s="189"/>
      <c r="BB16" s="189"/>
      <c r="BC16" s="189"/>
      <c r="BD16" s="189"/>
      <c r="BE16" s="189"/>
      <c r="BG16" s="145">
        <f>IF($K16&gt;=0,+SUM(L$9:$L16)-$B16+Maj!$AZ$41+SUM(AQ$9:$AQ16)," ")</f>
        <v>-3.3333333333231963E-3</v>
      </c>
      <c r="BH16" s="144">
        <f t="shared" si="19"/>
        <v>-1</v>
      </c>
      <c r="BI16" s="146">
        <f t="shared" si="20"/>
        <v>0</v>
      </c>
      <c r="BJ16" s="146">
        <f t="shared" si="21"/>
        <v>-3.3333333333231963E-3</v>
      </c>
      <c r="BK16" s="146">
        <f t="shared" si="22"/>
        <v>-1.9999999999939177E-3</v>
      </c>
      <c r="BL16" s="164">
        <f t="shared" si="23"/>
        <v>-1.9999999999939177E-3</v>
      </c>
      <c r="BM16" s="157">
        <f t="shared" si="24"/>
        <v>7.0359999999999996</v>
      </c>
      <c r="BN16">
        <f t="shared" si="6"/>
        <v>2</v>
      </c>
    </row>
    <row r="17" spans="1:66" ht="15.95" customHeight="1" x14ac:dyDescent="0.25">
      <c r="A17" s="125" t="s">
        <v>105</v>
      </c>
      <c r="B17" s="84"/>
      <c r="C17" s="144">
        <f t="shared" si="7"/>
        <v>1</v>
      </c>
      <c r="D17" s="146">
        <f t="shared" si="8"/>
        <v>0</v>
      </c>
      <c r="E17" s="146">
        <f t="shared" si="9"/>
        <v>0</v>
      </c>
      <c r="F17" s="146">
        <f t="shared" si="10"/>
        <v>0</v>
      </c>
      <c r="G17" s="261"/>
      <c r="H17" s="492">
        <v>9</v>
      </c>
      <c r="I17" s="16">
        <f t="shared" si="11"/>
        <v>41403</v>
      </c>
      <c r="J17" s="6"/>
      <c r="K17" s="6"/>
      <c r="L17" s="5" t="str">
        <f t="shared" si="25"/>
        <v/>
      </c>
      <c r="M17" s="141" t="e">
        <f t="shared" si="26"/>
        <v>#VALUE!</v>
      </c>
      <c r="N17" s="141" t="e">
        <f t="shared" si="27"/>
        <v>#VALUE!</v>
      </c>
      <c r="O17" s="141" t="e">
        <f t="shared" si="28"/>
        <v>#VALUE!</v>
      </c>
      <c r="P17" s="141" t="str">
        <f t="shared" si="29"/>
        <v/>
      </c>
      <c r="Q17" s="572"/>
      <c r="R17" s="573"/>
      <c r="S17" s="573"/>
      <c r="T17" s="574"/>
      <c r="U17" s="442"/>
      <c r="V17" s="241">
        <f t="shared" si="13"/>
        <v>0</v>
      </c>
      <c r="W17" s="241">
        <f t="shared" si="14"/>
        <v>0</v>
      </c>
      <c r="X17" s="241">
        <f t="shared" si="15"/>
        <v>0</v>
      </c>
      <c r="Y17" s="443">
        <f t="shared" si="16"/>
        <v>0</v>
      </c>
      <c r="Z17" s="442"/>
      <c r="AA17" s="442"/>
      <c r="AB17" s="442"/>
      <c r="AC17" s="442"/>
      <c r="AD17" s="442"/>
      <c r="AE17" s="241">
        <f t="shared" si="1"/>
        <v>0</v>
      </c>
      <c r="AF17" s="241">
        <f t="shared" si="17"/>
        <v>0</v>
      </c>
      <c r="AG17" s="241">
        <f t="shared" si="2"/>
        <v>0</v>
      </c>
      <c r="AH17" s="443">
        <f t="shared" si="18"/>
        <v>0</v>
      </c>
      <c r="AI17" s="442"/>
      <c r="AJ17" s="442"/>
      <c r="AK17" s="442"/>
      <c r="AL17" s="442"/>
      <c r="AM17" s="476"/>
      <c r="AN17" s="241">
        <f t="shared" si="3"/>
        <v>0</v>
      </c>
      <c r="AO17" s="241">
        <f t="shared" si="4"/>
        <v>0</v>
      </c>
      <c r="AP17" s="241">
        <f t="shared" si="5"/>
        <v>0</v>
      </c>
      <c r="AQ17" s="443">
        <f t="shared" si="12"/>
        <v>0</v>
      </c>
      <c r="AR17" s="444"/>
      <c r="AS17" s="444"/>
      <c r="AT17" s="444"/>
      <c r="AU17" s="445"/>
      <c r="AZ17" s="189"/>
      <c r="BA17" s="189"/>
      <c r="BB17" s="189"/>
      <c r="BC17" s="189"/>
      <c r="BD17" s="189"/>
      <c r="BE17" s="189"/>
      <c r="BG17" s="145">
        <f>IF($K17&gt;=0,+SUM(L$9:$L17)-$B17+Maj!$AZ$41+SUM(AQ$9:$AQ17)," ")</f>
        <v>44.07</v>
      </c>
      <c r="BH17" s="144">
        <f t="shared" si="19"/>
        <v>1</v>
      </c>
      <c r="BI17" s="146">
        <f t="shared" si="20"/>
        <v>44</v>
      </c>
      <c r="BJ17" s="146">
        <f t="shared" si="21"/>
        <v>7.0000000000000284E-2</v>
      </c>
      <c r="BK17" s="146">
        <f t="shared" si="22"/>
        <v>4.2000000000000169E-2</v>
      </c>
      <c r="BL17" s="164" t="str">
        <f t="shared" si="23"/>
        <v/>
      </c>
      <c r="BM17" s="157" t="str">
        <f t="shared" si="24"/>
        <v/>
      </c>
      <c r="BN17">
        <f t="shared" si="6"/>
        <v>1</v>
      </c>
    </row>
    <row r="18" spans="1:66" ht="15.95" customHeight="1" x14ac:dyDescent="0.25">
      <c r="A18" s="125" t="s">
        <v>106</v>
      </c>
      <c r="B18" s="84">
        <f>IF($I18&lt;&gt;"",IF(WEEKDAY($I18,2)&lt;6,IF(VLOOKUP(WEEKDAY($I18,2),InputUge,3)&gt;0,IF($A18="",VLOOKUP(WEEKDAY($I18,2),InputUge,3)+MAX(B$8:B17),IF($A18&lt;VLOOKUP(WEEKDAY($I18,2),InputUge,3),$A18+MAX(B$8:B17),VLOOKUP(WEEKDAY($I18,2),InputUge,3)+MAX(B$8:B17))),""),""),"")</f>
        <v>50.473333333333322</v>
      </c>
      <c r="C18" s="144">
        <f t="shared" si="7"/>
        <v>1</v>
      </c>
      <c r="D18" s="146">
        <f t="shared" si="8"/>
        <v>50</v>
      </c>
      <c r="E18" s="146">
        <f t="shared" si="9"/>
        <v>0.47333333333332206</v>
      </c>
      <c r="F18" s="146">
        <f t="shared" si="10"/>
        <v>0.28399999999999326</v>
      </c>
      <c r="G18" s="261">
        <f t="shared" si="0"/>
        <v>50.283999999999992</v>
      </c>
      <c r="H18" s="492">
        <v>10</v>
      </c>
      <c r="I18" s="16">
        <f t="shared" si="11"/>
        <v>41404</v>
      </c>
      <c r="J18" s="489">
        <v>0.34791666666666665</v>
      </c>
      <c r="K18" s="489">
        <v>0.61458333333333337</v>
      </c>
      <c r="L18" s="490">
        <f t="shared" si="25"/>
        <v>6.4</v>
      </c>
      <c r="M18" s="491">
        <f t="shared" si="26"/>
        <v>6</v>
      </c>
      <c r="N18" s="491">
        <f t="shared" si="27"/>
        <v>0.40000000000000036</v>
      </c>
      <c r="O18" s="491">
        <f t="shared" si="28"/>
        <v>0.24000000000000021</v>
      </c>
      <c r="P18" s="491">
        <f t="shared" si="29"/>
        <v>6.24</v>
      </c>
      <c r="Q18" s="572"/>
      <c r="R18" s="573"/>
      <c r="S18" s="573"/>
      <c r="T18" s="574"/>
      <c r="U18" s="442"/>
      <c r="V18" s="241">
        <f t="shared" si="13"/>
        <v>0</v>
      </c>
      <c r="W18" s="241">
        <f t="shared" si="14"/>
        <v>0</v>
      </c>
      <c r="X18" s="241">
        <f t="shared" si="15"/>
        <v>0</v>
      </c>
      <c r="Y18" s="443">
        <f t="shared" si="16"/>
        <v>0</v>
      </c>
      <c r="Z18" s="442"/>
      <c r="AA18" s="442"/>
      <c r="AB18" s="442"/>
      <c r="AC18" s="442"/>
      <c r="AD18" s="442"/>
      <c r="AE18" s="241">
        <f t="shared" si="1"/>
        <v>0</v>
      </c>
      <c r="AF18" s="241">
        <f t="shared" si="17"/>
        <v>0</v>
      </c>
      <c r="AG18" s="241">
        <f t="shared" si="2"/>
        <v>0</v>
      </c>
      <c r="AH18" s="443">
        <f t="shared" si="18"/>
        <v>0</v>
      </c>
      <c r="AI18" s="442"/>
      <c r="AJ18" s="442"/>
      <c r="AK18" s="442"/>
      <c r="AL18" s="442"/>
      <c r="AM18" s="476"/>
      <c r="AN18" s="241">
        <f t="shared" si="3"/>
        <v>0</v>
      </c>
      <c r="AO18" s="241">
        <f t="shared" si="4"/>
        <v>0</v>
      </c>
      <c r="AP18" s="241">
        <f t="shared" si="5"/>
        <v>0</v>
      </c>
      <c r="AQ18" s="443">
        <f t="shared" si="12"/>
        <v>0</v>
      </c>
      <c r="AR18" s="444"/>
      <c r="AS18" s="444"/>
      <c r="AT18" s="444"/>
      <c r="AU18" s="445"/>
      <c r="AZ18" s="189"/>
      <c r="BA18" s="189"/>
      <c r="BB18" s="189"/>
      <c r="BC18" s="189"/>
      <c r="BD18" s="189"/>
      <c r="BE18" s="189"/>
      <c r="BG18" s="145">
        <f>IF($K18&gt;=0,+SUM(L$9:$L18)-$B18+Maj!$AZ$41+SUM(AQ$9:$AQ18)," ")</f>
        <v>-3.3333333333231963E-3</v>
      </c>
      <c r="BH18" s="144">
        <f t="shared" si="19"/>
        <v>-1</v>
      </c>
      <c r="BI18" s="146">
        <f t="shared" si="20"/>
        <v>0</v>
      </c>
      <c r="BJ18" s="146">
        <f t="shared" si="21"/>
        <v>-3.3333333333231963E-3</v>
      </c>
      <c r="BK18" s="146">
        <f t="shared" si="22"/>
        <v>-1.9999999999939177E-3</v>
      </c>
      <c r="BL18" s="164"/>
      <c r="BM18" s="157">
        <f t="shared" si="24"/>
        <v>6.24</v>
      </c>
      <c r="BN18">
        <f t="shared" si="6"/>
        <v>2</v>
      </c>
    </row>
    <row r="19" spans="1:66" ht="15.95" customHeight="1" x14ac:dyDescent="0.25">
      <c r="A19" s="83"/>
      <c r="B19" s="84" t="str">
        <f>IF($I19&lt;&gt;"",IF(WEEKDAY($I19,2)&lt;6,IF(VLOOKUP(WEEKDAY($I19,2),InputUge,3)&gt;0,IF($A19="",VLOOKUP(WEEKDAY($I19,2),InputUge,3)+MAX(B$8:B18),IF($A19&lt;VLOOKUP(WEEKDAY($I19,2),InputUge,3),$A19+MAX(B$8:B18),VLOOKUP(WEEKDAY($I19,2),InputUge,3)+MAX(B$8:B18))),""),""),"")</f>
        <v/>
      </c>
      <c r="C19" s="144">
        <f t="shared" si="7"/>
        <v>1</v>
      </c>
      <c r="D19" s="146" t="e">
        <f t="shared" si="8"/>
        <v>#VALUE!</v>
      </c>
      <c r="E19" s="146" t="e">
        <f t="shared" si="9"/>
        <v>#VALUE!</v>
      </c>
      <c r="F19" s="146" t="e">
        <f t="shared" si="10"/>
        <v>#VALUE!</v>
      </c>
      <c r="G19" s="261"/>
      <c r="H19" s="4">
        <v>11</v>
      </c>
      <c r="I19" s="16">
        <f t="shared" si="11"/>
        <v>41405</v>
      </c>
      <c r="J19" s="6"/>
      <c r="K19" s="6"/>
      <c r="L19" s="5" t="str">
        <f t="shared" si="25"/>
        <v/>
      </c>
      <c r="M19" s="141" t="e">
        <f t="shared" si="26"/>
        <v>#VALUE!</v>
      </c>
      <c r="N19" s="141" t="e">
        <f t="shared" si="27"/>
        <v>#VALUE!</v>
      </c>
      <c r="O19" s="141" t="e">
        <f t="shared" si="28"/>
        <v>#VALUE!</v>
      </c>
      <c r="P19" s="162" t="str">
        <f t="shared" si="29"/>
        <v/>
      </c>
      <c r="Q19" s="572"/>
      <c r="R19" s="573"/>
      <c r="S19" s="573"/>
      <c r="T19" s="574"/>
      <c r="U19" s="442"/>
      <c r="V19" s="241">
        <f t="shared" si="13"/>
        <v>0</v>
      </c>
      <c r="W19" s="241">
        <f t="shared" si="14"/>
        <v>0</v>
      </c>
      <c r="X19" s="241">
        <f t="shared" si="15"/>
        <v>0</v>
      </c>
      <c r="Y19" s="443">
        <f t="shared" si="16"/>
        <v>0</v>
      </c>
      <c r="Z19" s="442"/>
      <c r="AA19" s="442"/>
      <c r="AB19" s="442"/>
      <c r="AC19" s="442"/>
      <c r="AD19" s="442"/>
      <c r="AE19" s="241">
        <f t="shared" si="1"/>
        <v>0</v>
      </c>
      <c r="AF19" s="241">
        <f t="shared" si="17"/>
        <v>0</v>
      </c>
      <c r="AG19" s="241">
        <f t="shared" si="2"/>
        <v>0</v>
      </c>
      <c r="AH19" s="443">
        <f t="shared" si="18"/>
        <v>0</v>
      </c>
      <c r="AI19" s="442"/>
      <c r="AJ19" s="442"/>
      <c r="AK19" s="442"/>
      <c r="AL19" s="442"/>
      <c r="AM19" s="476"/>
      <c r="AN19" s="241">
        <f t="shared" si="3"/>
        <v>0</v>
      </c>
      <c r="AO19" s="241">
        <f t="shared" si="4"/>
        <v>0</v>
      </c>
      <c r="AP19" s="241">
        <f t="shared" si="5"/>
        <v>0</v>
      </c>
      <c r="AQ19" s="443">
        <f t="shared" si="12"/>
        <v>0</v>
      </c>
      <c r="AR19" s="444"/>
      <c r="AS19" s="444"/>
      <c r="AT19" s="444"/>
      <c r="AU19" s="445"/>
      <c r="AZ19" s="189"/>
      <c r="BA19" s="189"/>
      <c r="BB19" s="189"/>
      <c r="BC19" s="189"/>
      <c r="BD19" s="189"/>
      <c r="BE19" s="189"/>
      <c r="BG19" s="145" t="e">
        <f>IF($K19&gt;=0,+SUM(L$9:$L19)-$B19+Maj!$AZ$41+SUM(AQ$9:$AQ19)," ")</f>
        <v>#VALUE!</v>
      </c>
      <c r="BH19" s="144" t="e">
        <f t="shared" si="19"/>
        <v>#VALUE!</v>
      </c>
      <c r="BI19" s="146" t="e">
        <f t="shared" si="20"/>
        <v>#VALUE!</v>
      </c>
      <c r="BJ19" s="146" t="e">
        <f t="shared" si="21"/>
        <v>#VALUE!</v>
      </c>
      <c r="BK19" s="146" t="e">
        <f t="shared" si="22"/>
        <v>#VALUE!</v>
      </c>
      <c r="BL19" s="164" t="str">
        <f t="shared" si="23"/>
        <v/>
      </c>
      <c r="BM19" s="157" t="str">
        <f t="shared" si="24"/>
        <v/>
      </c>
      <c r="BN19">
        <f t="shared" si="6"/>
        <v>1</v>
      </c>
    </row>
    <row r="20" spans="1:66" ht="15.95" customHeight="1" x14ac:dyDescent="0.25">
      <c r="A20" s="83"/>
      <c r="B20" s="84" t="str">
        <f>IF($I20&lt;&gt;"",IF(WEEKDAY($I20,2)&lt;6,IF(VLOOKUP(WEEKDAY($I20,2),InputUge,3)&gt;0,IF($A20="",VLOOKUP(WEEKDAY($I20,2),InputUge,3)+MAX(B$8:B19),IF($A20&lt;VLOOKUP(WEEKDAY($I20,2),InputUge,3),$A20+MAX(B$8:B19),VLOOKUP(WEEKDAY($I20,2),InputUge,3)+MAX(B$8:B19))),""),""),"")</f>
        <v/>
      </c>
      <c r="C20" s="144">
        <f t="shared" si="7"/>
        <v>1</v>
      </c>
      <c r="D20" s="146" t="e">
        <f t="shared" si="8"/>
        <v>#VALUE!</v>
      </c>
      <c r="E20" s="146" t="e">
        <f t="shared" si="9"/>
        <v>#VALUE!</v>
      </c>
      <c r="F20" s="146" t="e">
        <f t="shared" si="10"/>
        <v>#VALUE!</v>
      </c>
      <c r="G20" s="261"/>
      <c r="H20" s="4">
        <v>12</v>
      </c>
      <c r="I20" s="16">
        <f t="shared" si="11"/>
        <v>41406</v>
      </c>
      <c r="J20" s="6"/>
      <c r="K20" s="6"/>
      <c r="L20" s="5"/>
      <c r="M20" s="141"/>
      <c r="N20" s="141"/>
      <c r="O20" s="141"/>
      <c r="P20" s="141"/>
      <c r="Q20" s="572"/>
      <c r="R20" s="573"/>
      <c r="S20" s="573"/>
      <c r="T20" s="574"/>
      <c r="U20" s="442"/>
      <c r="V20" s="241">
        <f t="shared" si="13"/>
        <v>0</v>
      </c>
      <c r="W20" s="241">
        <f t="shared" si="14"/>
        <v>0</v>
      </c>
      <c r="X20" s="241">
        <f t="shared" si="15"/>
        <v>0</v>
      </c>
      <c r="Y20" s="443">
        <f t="shared" si="16"/>
        <v>0</v>
      </c>
      <c r="Z20" s="442"/>
      <c r="AA20" s="442"/>
      <c r="AB20" s="442"/>
      <c r="AC20" s="442"/>
      <c r="AD20" s="442"/>
      <c r="AE20" s="241">
        <f t="shared" si="1"/>
        <v>0</v>
      </c>
      <c r="AF20" s="241">
        <f t="shared" si="17"/>
        <v>0</v>
      </c>
      <c r="AG20" s="241">
        <f t="shared" si="2"/>
        <v>0</v>
      </c>
      <c r="AH20" s="443">
        <f t="shared" si="18"/>
        <v>0</v>
      </c>
      <c r="AI20" s="442"/>
      <c r="AJ20" s="442"/>
      <c r="AK20" s="442"/>
      <c r="AL20" s="442"/>
      <c r="AM20" s="476"/>
      <c r="AN20" s="241">
        <f t="shared" si="3"/>
        <v>0</v>
      </c>
      <c r="AO20" s="241">
        <f t="shared" si="4"/>
        <v>0</v>
      </c>
      <c r="AP20" s="241">
        <f t="shared" si="5"/>
        <v>0</v>
      </c>
      <c r="AQ20" s="443">
        <f t="shared" si="12"/>
        <v>0</v>
      </c>
      <c r="AR20" s="444"/>
      <c r="AS20" s="444"/>
      <c r="AT20" s="444"/>
      <c r="AU20" s="445"/>
      <c r="AZ20" s="189"/>
      <c r="BA20" s="189"/>
      <c r="BB20" s="189"/>
      <c r="BC20" s="189"/>
      <c r="BD20" s="189"/>
      <c r="BE20" s="189"/>
      <c r="BG20" s="145" t="e">
        <f>IF($K20&gt;=0,+SUM(L$9:$L20)-$B20+Maj!$AZ$41+SUM(AQ$9:$AQ20)," ")</f>
        <v>#VALUE!</v>
      </c>
      <c r="BH20" s="144" t="e">
        <f t="shared" si="19"/>
        <v>#VALUE!</v>
      </c>
      <c r="BI20" s="146" t="e">
        <f t="shared" si="20"/>
        <v>#VALUE!</v>
      </c>
      <c r="BJ20" s="146" t="e">
        <f t="shared" si="21"/>
        <v>#VALUE!</v>
      </c>
      <c r="BK20" s="146" t="e">
        <f t="shared" si="22"/>
        <v>#VALUE!</v>
      </c>
      <c r="BL20" s="164"/>
      <c r="BM20" s="157">
        <f t="shared" si="24"/>
        <v>0</v>
      </c>
      <c r="BN20">
        <f t="shared" si="6"/>
        <v>2</v>
      </c>
    </row>
    <row r="21" spans="1:66" ht="15.95" customHeight="1" x14ac:dyDescent="0.25">
      <c r="A21" s="125"/>
      <c r="B21" s="84">
        <f>IF($I21&lt;&gt;"",IF(WEEKDAY($I21,2)&lt;6,IF(VLOOKUP(WEEKDAY($I21,2),InputUge,3)&gt;0,IF($A21="",VLOOKUP(WEEKDAY($I21,2),InputUge,3)+MAX(B$8:B20),IF($A21&lt;VLOOKUP(WEEKDAY($I21,2),InputUge,3),$A21+MAX(B$8:B20),VLOOKUP(WEEKDAY($I21,2),InputUge,3)+MAX(B$8:B20))),""),""),"")</f>
        <v>57.536666666666655</v>
      </c>
      <c r="C21" s="144">
        <f t="shared" si="7"/>
        <v>1</v>
      </c>
      <c r="D21" s="146">
        <f t="shared" si="8"/>
        <v>57</v>
      </c>
      <c r="E21" s="146">
        <f t="shared" si="9"/>
        <v>0.53666666666665463</v>
      </c>
      <c r="F21" s="146">
        <f t="shared" si="10"/>
        <v>0.32199999999999279</v>
      </c>
      <c r="G21" s="261"/>
      <c r="H21" s="4">
        <v>13</v>
      </c>
      <c r="I21" s="16">
        <f t="shared" si="11"/>
        <v>41407</v>
      </c>
      <c r="J21" s="6">
        <v>0.34791666666666665</v>
      </c>
      <c r="K21" s="6">
        <v>0.64236111111111105</v>
      </c>
      <c r="L21" s="5">
        <f>IF(K21&gt;0,ROUND(((K21-J21)*24)-SUM(BR21:BS21)+BT21,2)+IF(Fredagsfrokost="n",IF(WEEKDAY($I21,2)=5,IF(K21&gt;=0.5,IF(K21&lt;=13/24,0,0),0),0),0),IF(AW21&gt;0,AW21,""))</f>
        <v>7.07</v>
      </c>
      <c r="M21" s="141">
        <f>FLOOR(L21,1)</f>
        <v>7</v>
      </c>
      <c r="N21" s="141">
        <f>+L21-M21</f>
        <v>7.0000000000000284E-2</v>
      </c>
      <c r="O21" s="141">
        <f>+N21/100*60</f>
        <v>4.2000000000000169E-2</v>
      </c>
      <c r="P21" s="162">
        <f>IF(J21="","",O21+M21)</f>
        <v>7.0419999999999998</v>
      </c>
      <c r="Q21" s="572"/>
      <c r="R21" s="573"/>
      <c r="S21" s="573"/>
      <c r="T21" s="574"/>
      <c r="U21" s="442"/>
      <c r="V21" s="241">
        <f t="shared" si="13"/>
        <v>0</v>
      </c>
      <c r="W21" s="241">
        <f t="shared" si="14"/>
        <v>0</v>
      </c>
      <c r="X21" s="241">
        <f t="shared" si="15"/>
        <v>0</v>
      </c>
      <c r="Y21" s="443">
        <f t="shared" si="16"/>
        <v>0</v>
      </c>
      <c r="Z21" s="442"/>
      <c r="AA21" s="442"/>
      <c r="AB21" s="442"/>
      <c r="AC21" s="442"/>
      <c r="AD21" s="442"/>
      <c r="AE21" s="241">
        <f t="shared" si="1"/>
        <v>0</v>
      </c>
      <c r="AF21" s="241">
        <f t="shared" si="17"/>
        <v>0</v>
      </c>
      <c r="AG21" s="241">
        <f t="shared" si="2"/>
        <v>0</v>
      </c>
      <c r="AH21" s="443">
        <f t="shared" si="18"/>
        <v>0</v>
      </c>
      <c r="AI21" s="442"/>
      <c r="AJ21" s="442"/>
      <c r="AK21" s="442"/>
      <c r="AL21" s="442"/>
      <c r="AM21" s="476"/>
      <c r="AN21" s="241">
        <f t="shared" si="3"/>
        <v>0</v>
      </c>
      <c r="AO21" s="241">
        <f t="shared" si="4"/>
        <v>0</v>
      </c>
      <c r="AP21" s="241">
        <f t="shared" si="5"/>
        <v>0</v>
      </c>
      <c r="AQ21" s="443">
        <f t="shared" si="12"/>
        <v>0</v>
      </c>
      <c r="AR21" s="444"/>
      <c r="AS21" s="444"/>
      <c r="AT21" s="444"/>
      <c r="AU21" s="445"/>
      <c r="AZ21" s="189"/>
      <c r="BA21" s="189"/>
      <c r="BB21" s="189"/>
      <c r="BC21" s="189"/>
      <c r="BD21" s="189"/>
      <c r="BE21" s="189"/>
      <c r="BG21" s="145">
        <f>IF($K21&gt;=0,+SUM(L$9:$L21)-$B21+Maj!$AZ$41+SUM(AQ$9:$AQ21)," ")</f>
        <v>3.3333333333445125E-3</v>
      </c>
      <c r="BH21" s="144">
        <f t="shared" si="19"/>
        <v>1</v>
      </c>
      <c r="BI21" s="146">
        <f t="shared" si="20"/>
        <v>0</v>
      </c>
      <c r="BJ21" s="146">
        <f t="shared" si="21"/>
        <v>3.3333333333445125E-3</v>
      </c>
      <c r="BK21" s="146">
        <f t="shared" si="22"/>
        <v>2.0000000000067073E-3</v>
      </c>
      <c r="BL21" s="164">
        <f>IF(BN21=2,+BK21+BI21,"")</f>
        <v>2.0000000000067073E-3</v>
      </c>
      <c r="BM21" s="157">
        <f t="shared" si="24"/>
        <v>7.0419999999999998</v>
      </c>
      <c r="BN21">
        <f t="shared" si="6"/>
        <v>2</v>
      </c>
    </row>
    <row r="22" spans="1:66" ht="15.95" customHeight="1" x14ac:dyDescent="0.25">
      <c r="A22" s="125"/>
      <c r="B22" s="84">
        <f>IF($I22&lt;&gt;"",IF(WEEKDAY($I22,2)&lt;6,IF(VLOOKUP(WEEKDAY($I22,2),InputUge,3)&gt;0,IF($A22="",VLOOKUP(WEEKDAY($I22,2),InputUge,3)+MAX(B$8:B21),IF($A22&lt;VLOOKUP(WEEKDAY($I22,2),InputUge,3),$A22+MAX(B$8:B21),VLOOKUP(WEEKDAY($I22,2),InputUge,3)+MAX(B$8:B21))),""),""),"")</f>
        <v>64.603333333333325</v>
      </c>
      <c r="C22" s="144">
        <f t="shared" si="7"/>
        <v>1</v>
      </c>
      <c r="D22" s="146">
        <f t="shared" si="8"/>
        <v>64</v>
      </c>
      <c r="E22" s="146">
        <f t="shared" si="9"/>
        <v>0.60333333333332462</v>
      </c>
      <c r="F22" s="146">
        <f t="shared" si="10"/>
        <v>0.36199999999999477</v>
      </c>
      <c r="G22" s="261">
        <f t="shared" si="0"/>
        <v>64.361999999999995</v>
      </c>
      <c r="H22" s="4">
        <v>14</v>
      </c>
      <c r="I22" s="16">
        <f t="shared" si="11"/>
        <v>41408</v>
      </c>
      <c r="J22" s="6">
        <v>0.34791666666666665</v>
      </c>
      <c r="K22" s="6">
        <v>0.64236111111111105</v>
      </c>
      <c r="L22" s="5">
        <f>IF(K22&gt;0,ROUND(((K22-J22)*24)-SUM(BR22:BS22)+BT22,2)+IF(Fredagsfrokost="n",IF(WEEKDAY($I22,2)=5,IF(K22&gt;=0.5,IF(K22&lt;=13/24,0,0),0),0),0),IF(AW22&gt;0,AW22,""))</f>
        <v>7.07</v>
      </c>
      <c r="M22" s="141">
        <f>FLOOR(L22,1)</f>
        <v>7</v>
      </c>
      <c r="N22" s="141">
        <f>+L22-M22</f>
        <v>7.0000000000000284E-2</v>
      </c>
      <c r="O22" s="141">
        <f>+N22/100*60</f>
        <v>4.2000000000000169E-2</v>
      </c>
      <c r="P22" s="162">
        <f>IF(J22="","",O22+M22)</f>
        <v>7.0419999999999998</v>
      </c>
      <c r="Q22" s="572"/>
      <c r="R22" s="573"/>
      <c r="S22" s="573"/>
      <c r="T22" s="574"/>
      <c r="U22" s="442"/>
      <c r="V22" s="241">
        <f t="shared" si="13"/>
        <v>0</v>
      </c>
      <c r="W22" s="241">
        <f t="shared" si="14"/>
        <v>0</v>
      </c>
      <c r="X22" s="241">
        <f t="shared" si="15"/>
        <v>0</v>
      </c>
      <c r="Y22" s="443">
        <f t="shared" si="16"/>
        <v>0</v>
      </c>
      <c r="Z22" s="442"/>
      <c r="AA22" s="442"/>
      <c r="AB22" s="442"/>
      <c r="AC22" s="442"/>
      <c r="AD22" s="442"/>
      <c r="AE22" s="241">
        <f t="shared" si="1"/>
        <v>0</v>
      </c>
      <c r="AF22" s="241">
        <f t="shared" si="17"/>
        <v>0</v>
      </c>
      <c r="AG22" s="241">
        <f t="shared" si="2"/>
        <v>0</v>
      </c>
      <c r="AH22" s="443">
        <f t="shared" si="18"/>
        <v>0</v>
      </c>
      <c r="AI22" s="442"/>
      <c r="AJ22" s="442"/>
      <c r="AK22" s="442"/>
      <c r="AL22" s="442"/>
      <c r="AM22" s="476"/>
      <c r="AN22" s="241">
        <f t="shared" si="3"/>
        <v>0</v>
      </c>
      <c r="AO22" s="241">
        <f t="shared" si="4"/>
        <v>0</v>
      </c>
      <c r="AP22" s="241">
        <f t="shared" si="5"/>
        <v>0</v>
      </c>
      <c r="AQ22" s="443">
        <f t="shared" si="12"/>
        <v>0</v>
      </c>
      <c r="AR22" s="444"/>
      <c r="AS22" s="444"/>
      <c r="AT22" s="444"/>
      <c r="AU22" s="445"/>
      <c r="AZ22" s="189"/>
      <c r="BA22" s="189"/>
      <c r="BB22" s="189"/>
      <c r="BC22" s="189"/>
      <c r="BD22" s="189"/>
      <c r="BE22" s="189"/>
      <c r="BG22" s="145">
        <f>IF($K22&gt;=0,+SUM(L$9:$L22)-$B22+Maj!$AZ$41+SUM(AQ$9:$AQ22)," ")</f>
        <v>6.6666666666748142E-3</v>
      </c>
      <c r="BH22" s="144">
        <f t="shared" si="19"/>
        <v>1</v>
      </c>
      <c r="BI22" s="146">
        <f t="shared" si="20"/>
        <v>0</v>
      </c>
      <c r="BJ22" s="146">
        <f t="shared" si="21"/>
        <v>6.6666666666748142E-3</v>
      </c>
      <c r="BK22" s="146">
        <f t="shared" si="22"/>
        <v>4.0000000000048885E-3</v>
      </c>
      <c r="BL22" s="164">
        <f t="shared" si="23"/>
        <v>4.0000000000048885E-3</v>
      </c>
      <c r="BM22" s="157">
        <f t="shared" si="24"/>
        <v>7.0419999999999998</v>
      </c>
      <c r="BN22">
        <f t="shared" si="6"/>
        <v>2</v>
      </c>
    </row>
    <row r="23" spans="1:66" ht="15.95" customHeight="1" x14ac:dyDescent="0.25">
      <c r="A23" s="83"/>
      <c r="B23" s="84">
        <f>IF($I23&lt;&gt;"",IF(WEEKDAY($I23,2)&lt;6,IF(VLOOKUP(WEEKDAY($I23,2),InputUge,3)&gt;0,IF($A23="",VLOOKUP(WEEKDAY($I23,2),InputUge,3)+MAX(B$8:B22),IF($A23&lt;VLOOKUP(WEEKDAY($I23,2),InputUge,3),$A23+MAX(B$8:B22),VLOOKUP(WEEKDAY($I23,2),InputUge,3)+MAX(B$8:B22))),""),""),"")</f>
        <v>71.669999999999987</v>
      </c>
      <c r="C23" s="144">
        <f t="shared" si="7"/>
        <v>1</v>
      </c>
      <c r="D23" s="146">
        <f t="shared" si="8"/>
        <v>71</v>
      </c>
      <c r="E23" s="146">
        <f t="shared" si="9"/>
        <v>0.66999999999998749</v>
      </c>
      <c r="F23" s="146">
        <f t="shared" si="10"/>
        <v>0.40199999999999253</v>
      </c>
      <c r="G23" s="261">
        <f t="shared" si="0"/>
        <v>71.401999999999987</v>
      </c>
      <c r="H23" s="4">
        <v>15</v>
      </c>
      <c r="I23" s="16">
        <f t="shared" si="11"/>
        <v>41409</v>
      </c>
      <c r="J23" s="6">
        <v>0.34826388888888887</v>
      </c>
      <c r="K23" s="6">
        <v>0.64236111111111105</v>
      </c>
      <c r="L23" s="5">
        <f>IF(K23&gt;0,ROUND(((K23-J23)*24)-SUM(BR23:BS23)+BT23,2)+IF(Fredagsfrokost="n",IF(WEEKDAY($I23,2)=5,IF(K23&gt;=0.5,IF(K23&lt;=13/24,0,0),0),0),0),IF(AW23&gt;0,AW23,""))</f>
        <v>7.06</v>
      </c>
      <c r="M23" s="141">
        <f>FLOOR(L23,1)</f>
        <v>7</v>
      </c>
      <c r="N23" s="141">
        <f>+L23-M23</f>
        <v>5.9999999999999609E-2</v>
      </c>
      <c r="O23" s="141">
        <f>+N23/100*60</f>
        <v>3.5999999999999761E-2</v>
      </c>
      <c r="P23" s="162">
        <f>IF(J23="","",O23+M23)</f>
        <v>7.0359999999999996</v>
      </c>
      <c r="Q23" s="572"/>
      <c r="R23" s="573"/>
      <c r="S23" s="573"/>
      <c r="T23" s="574"/>
      <c r="U23" s="442"/>
      <c r="V23" s="241">
        <f t="shared" si="13"/>
        <v>0</v>
      </c>
      <c r="W23" s="241">
        <f t="shared" si="14"/>
        <v>0</v>
      </c>
      <c r="X23" s="241">
        <f t="shared" si="15"/>
        <v>0</v>
      </c>
      <c r="Y23" s="443">
        <f t="shared" si="16"/>
        <v>0</v>
      </c>
      <c r="Z23" s="442"/>
      <c r="AA23" s="442"/>
      <c r="AB23" s="442"/>
      <c r="AC23" s="442"/>
      <c r="AD23" s="442"/>
      <c r="AE23" s="241">
        <f t="shared" si="1"/>
        <v>0</v>
      </c>
      <c r="AF23" s="241">
        <f t="shared" si="17"/>
        <v>0</v>
      </c>
      <c r="AG23" s="241">
        <f t="shared" si="2"/>
        <v>0</v>
      </c>
      <c r="AH23" s="443">
        <f t="shared" si="18"/>
        <v>0</v>
      </c>
      <c r="AI23" s="442"/>
      <c r="AJ23" s="442"/>
      <c r="AK23" s="442"/>
      <c r="AL23" s="442"/>
      <c r="AM23" s="476"/>
      <c r="AN23" s="241">
        <f t="shared" si="3"/>
        <v>0</v>
      </c>
      <c r="AO23" s="241">
        <f t="shared" si="4"/>
        <v>0</v>
      </c>
      <c r="AP23" s="241">
        <f t="shared" si="5"/>
        <v>0</v>
      </c>
      <c r="AQ23" s="443">
        <f t="shared" si="12"/>
        <v>0</v>
      </c>
      <c r="AR23" s="444"/>
      <c r="AS23" s="444"/>
      <c r="AT23" s="444"/>
      <c r="AU23" s="445"/>
      <c r="AZ23" s="189"/>
      <c r="BA23" s="189"/>
      <c r="BB23" s="189"/>
      <c r="BC23" s="189"/>
      <c r="BD23" s="189"/>
      <c r="BE23" s="189"/>
      <c r="BG23" s="145">
        <f>IF($K23&gt;=0,+SUM(L$9:$L23)-$B23+Maj!$AZ$41+SUM(AQ$9:$AQ23)," ")</f>
        <v>1.4210854715202004E-14</v>
      </c>
      <c r="BH23" s="144">
        <f t="shared" si="19"/>
        <v>1</v>
      </c>
      <c r="BI23" s="146">
        <f t="shared" si="20"/>
        <v>0</v>
      </c>
      <c r="BJ23" s="146">
        <f t="shared" si="21"/>
        <v>1.4210854715202004E-14</v>
      </c>
      <c r="BK23" s="146">
        <f t="shared" si="22"/>
        <v>8.5265128291212019E-15</v>
      </c>
      <c r="BL23" s="164">
        <f t="shared" si="23"/>
        <v>8.5265128291212019E-15</v>
      </c>
      <c r="BM23" s="157">
        <f t="shared" si="24"/>
        <v>7.0359999999999996</v>
      </c>
      <c r="BN23">
        <f t="shared" si="6"/>
        <v>2</v>
      </c>
    </row>
    <row r="24" spans="1:66" ht="15.95" customHeight="1" x14ac:dyDescent="0.25">
      <c r="A24" s="83"/>
      <c r="B24" s="84">
        <f>IF($I24&lt;&gt;"",IF(WEEKDAY($I24,2)&lt;6,IF(VLOOKUP(WEEKDAY($I24,2),InputUge,3)&gt;0,IF($A24="",VLOOKUP(WEEKDAY($I24,2),InputUge,3)+MAX(B$8:B23),IF($A24&lt;VLOOKUP(WEEKDAY($I24,2),InputUge,3),$A24+MAX(B$8:B23),VLOOKUP(WEEKDAY($I24,2),InputUge,3)+MAX(B$8:B23))),""),""),"")</f>
        <v>81.079999999999984</v>
      </c>
      <c r="C24" s="144">
        <f t="shared" si="7"/>
        <v>1</v>
      </c>
      <c r="D24" s="146">
        <f t="shared" si="8"/>
        <v>81</v>
      </c>
      <c r="E24" s="146">
        <f t="shared" si="9"/>
        <v>7.9999999999984084E-2</v>
      </c>
      <c r="F24" s="146">
        <f t="shared" si="10"/>
        <v>4.7999999999990453E-2</v>
      </c>
      <c r="G24" s="261">
        <f t="shared" si="0"/>
        <v>81.047999999999988</v>
      </c>
      <c r="H24" s="4">
        <v>16</v>
      </c>
      <c r="I24" s="16">
        <f t="shared" si="11"/>
        <v>41410</v>
      </c>
      <c r="J24" s="6">
        <v>0.34791666666666665</v>
      </c>
      <c r="K24" s="6">
        <v>0.73981481481481481</v>
      </c>
      <c r="L24" s="5">
        <f>IF(K24&gt;0,ROUND(((K24-J24)*24)-SUM(BR24:BS24)+BT24,2)+IF(Fredagsfrokost="n",IF(WEEKDAY($I24,2)=5,IF(K24&gt;=0.5,IF(K24&lt;=13/24,0,0),0),0),0),IF(AW24&gt;0,AW24,""))</f>
        <v>9.41</v>
      </c>
      <c r="M24" s="141">
        <f>FLOOR(L24,1)</f>
        <v>9</v>
      </c>
      <c r="N24" s="141">
        <f>+L24-M24</f>
        <v>0.41000000000000014</v>
      </c>
      <c r="O24" s="141">
        <f>+N24/100*60</f>
        <v>0.24600000000000008</v>
      </c>
      <c r="P24" s="162">
        <f>IF(J24="","",O24+M24)</f>
        <v>9.2460000000000004</v>
      </c>
      <c r="Q24" s="572"/>
      <c r="R24" s="573"/>
      <c r="S24" s="573"/>
      <c r="T24" s="574"/>
      <c r="U24" s="442"/>
      <c r="V24" s="241">
        <f t="shared" si="13"/>
        <v>0</v>
      </c>
      <c r="W24" s="241">
        <f t="shared" si="14"/>
        <v>0</v>
      </c>
      <c r="X24" s="241">
        <f t="shared" si="15"/>
        <v>0</v>
      </c>
      <c r="Y24" s="443">
        <f t="shared" si="16"/>
        <v>0</v>
      </c>
      <c r="Z24" s="442"/>
      <c r="AA24" s="442"/>
      <c r="AB24" s="442"/>
      <c r="AC24" s="442"/>
      <c r="AD24" s="442"/>
      <c r="AE24" s="241">
        <f t="shared" si="1"/>
        <v>0</v>
      </c>
      <c r="AF24" s="241">
        <f t="shared" si="17"/>
        <v>0</v>
      </c>
      <c r="AG24" s="241">
        <f t="shared" si="2"/>
        <v>0</v>
      </c>
      <c r="AH24" s="443">
        <f t="shared" si="18"/>
        <v>0</v>
      </c>
      <c r="AI24" s="442"/>
      <c r="AJ24" s="442"/>
      <c r="AK24" s="442"/>
      <c r="AL24" s="442"/>
      <c r="AM24" s="476"/>
      <c r="AN24" s="241">
        <f t="shared" si="3"/>
        <v>0</v>
      </c>
      <c r="AO24" s="241">
        <f t="shared" si="4"/>
        <v>0</v>
      </c>
      <c r="AP24" s="241">
        <f t="shared" si="5"/>
        <v>0</v>
      </c>
      <c r="AQ24" s="443">
        <f t="shared" si="12"/>
        <v>0</v>
      </c>
      <c r="AR24" s="444"/>
      <c r="AS24" s="444"/>
      <c r="AT24" s="444"/>
      <c r="AU24" s="445"/>
      <c r="AZ24" s="189"/>
      <c r="BA24" s="189"/>
      <c r="BB24" s="189"/>
      <c r="BC24" s="189"/>
      <c r="BD24" s="189"/>
      <c r="BE24" s="189"/>
      <c r="BG24" s="145">
        <f>IF($K24&gt;=0,+SUM(L$9:$L24)-$B24+Maj!$AZ$41+SUM(AQ$9:$AQ24)," ")</f>
        <v>1.4210854715202004E-14</v>
      </c>
      <c r="BH24" s="144">
        <f t="shared" si="19"/>
        <v>1</v>
      </c>
      <c r="BI24" s="146">
        <f t="shared" si="20"/>
        <v>0</v>
      </c>
      <c r="BJ24" s="146">
        <f t="shared" si="21"/>
        <v>1.4210854715202004E-14</v>
      </c>
      <c r="BK24" s="146">
        <f t="shared" si="22"/>
        <v>8.5265128291212019E-15</v>
      </c>
      <c r="BL24" s="164">
        <f t="shared" si="23"/>
        <v>8.5265128291212019E-15</v>
      </c>
      <c r="BM24" s="157">
        <f t="shared" si="24"/>
        <v>9.2460000000000004</v>
      </c>
      <c r="BN24">
        <f t="shared" si="6"/>
        <v>2</v>
      </c>
    </row>
    <row r="25" spans="1:66" ht="15.95" customHeight="1" x14ac:dyDescent="0.25">
      <c r="A25" s="125"/>
      <c r="B25" s="84">
        <f>IF($I25&lt;&gt;"",IF(WEEKDAY($I25,2)&lt;6,IF(VLOOKUP(WEEKDAY($I25,2),InputUge,3)&gt;0,IF($A25="",VLOOKUP(WEEKDAY($I25,2),InputUge,3)+MAX(B$8:B24),IF($A25&lt;VLOOKUP(WEEKDAY($I25,2),InputUge,3),$A25+MAX(B$8:B24),VLOOKUP(WEEKDAY($I25,2),InputUge,3)+MAX(B$8:B24))),""),""),"")</f>
        <v>87.47999999999999</v>
      </c>
      <c r="C25" s="144">
        <f t="shared" si="7"/>
        <v>1</v>
      </c>
      <c r="D25" s="146">
        <f t="shared" si="8"/>
        <v>87</v>
      </c>
      <c r="E25" s="146">
        <f t="shared" si="9"/>
        <v>0.47999999999998977</v>
      </c>
      <c r="F25" s="146">
        <f t="shared" si="10"/>
        <v>0.28799999999999387</v>
      </c>
      <c r="G25" s="261">
        <f t="shared" si="0"/>
        <v>87.287999999999997</v>
      </c>
      <c r="H25" s="285">
        <v>17</v>
      </c>
      <c r="I25" s="379">
        <f t="shared" si="11"/>
        <v>41411</v>
      </c>
      <c r="J25" s="6">
        <v>0.34791666666666665</v>
      </c>
      <c r="K25" s="6">
        <v>0.61458333333333337</v>
      </c>
      <c r="L25" s="5">
        <f>IF(K25&gt;0,ROUND(((K25-J25)*24)-SUM(BR25:BS25)+BT25,2)+IF(Fredagsfrokost="n",IF(WEEKDAY($I25,2)=5,IF(K25&gt;=0.5,IF(K25&lt;=13/24,0,0),0),0),0),IF(AW25&gt;0,AW25,""))</f>
        <v>6.4</v>
      </c>
      <c r="M25" s="141">
        <f>FLOOR(L25,1)</f>
        <v>6</v>
      </c>
      <c r="N25" s="141">
        <f>+L25-M25</f>
        <v>0.40000000000000036</v>
      </c>
      <c r="O25" s="141">
        <f>+N25/100*60</f>
        <v>0.24000000000000021</v>
      </c>
      <c r="P25" s="162">
        <f>IF(J25="","",O25+M25)</f>
        <v>6.24</v>
      </c>
      <c r="Q25" s="572"/>
      <c r="R25" s="573"/>
      <c r="S25" s="573"/>
      <c r="T25" s="574"/>
      <c r="U25" s="442"/>
      <c r="V25" s="241">
        <f t="shared" si="13"/>
        <v>0</v>
      </c>
      <c r="W25" s="241">
        <f t="shared" si="14"/>
        <v>0</v>
      </c>
      <c r="X25" s="241">
        <f t="shared" si="15"/>
        <v>0</v>
      </c>
      <c r="Y25" s="443">
        <f t="shared" si="16"/>
        <v>0</v>
      </c>
      <c r="Z25" s="442"/>
      <c r="AA25" s="442"/>
      <c r="AB25" s="442"/>
      <c r="AC25" s="442"/>
      <c r="AD25" s="442"/>
      <c r="AE25" s="241">
        <f t="shared" si="1"/>
        <v>0</v>
      </c>
      <c r="AF25" s="241">
        <f t="shared" si="17"/>
        <v>0</v>
      </c>
      <c r="AG25" s="241">
        <f t="shared" si="2"/>
        <v>0</v>
      </c>
      <c r="AH25" s="443">
        <f t="shared" si="18"/>
        <v>0</v>
      </c>
      <c r="AI25" s="442"/>
      <c r="AJ25" s="442"/>
      <c r="AK25" s="442"/>
      <c r="AL25" s="442"/>
      <c r="AM25" s="476"/>
      <c r="AN25" s="241">
        <f t="shared" si="3"/>
        <v>0</v>
      </c>
      <c r="AO25" s="241">
        <f t="shared" si="4"/>
        <v>0</v>
      </c>
      <c r="AP25" s="241">
        <f t="shared" si="5"/>
        <v>0</v>
      </c>
      <c r="AQ25" s="443">
        <f t="shared" si="12"/>
        <v>0</v>
      </c>
      <c r="AR25" s="444"/>
      <c r="AS25" s="444"/>
      <c r="AT25" s="444"/>
      <c r="AU25" s="445"/>
      <c r="AZ25" s="189"/>
      <c r="BA25" s="189"/>
      <c r="BB25" s="189"/>
      <c r="BC25" s="189"/>
      <c r="BD25" s="189"/>
      <c r="BE25" s="189"/>
      <c r="BG25" s="145">
        <f>IF($K25&gt;=0,+SUM(L$9:$L25)-$B25+Maj!$AZ$41+SUM(AQ$9:$AQ25)," ")</f>
        <v>1.4210854715202004E-14</v>
      </c>
      <c r="BH25" s="144">
        <f t="shared" si="19"/>
        <v>1</v>
      </c>
      <c r="BI25" s="146">
        <f t="shared" si="20"/>
        <v>0</v>
      </c>
      <c r="BJ25" s="146">
        <f t="shared" si="21"/>
        <v>1.4210854715202004E-14</v>
      </c>
      <c r="BK25" s="146">
        <f t="shared" si="22"/>
        <v>8.5265128291212019E-15</v>
      </c>
      <c r="BL25" s="164">
        <f>IF(BN25=2,+BK25+BI25,"")</f>
        <v>8.5265128291212019E-15</v>
      </c>
      <c r="BM25" s="157">
        <f>+P25</f>
        <v>6.24</v>
      </c>
      <c r="BN25">
        <f t="shared" si="6"/>
        <v>2</v>
      </c>
    </row>
    <row r="26" spans="1:66" ht="15.95" customHeight="1" x14ac:dyDescent="0.25">
      <c r="A26" s="125"/>
      <c r="B26" s="84" t="str">
        <f>IF($I26&lt;&gt;"",IF(WEEKDAY($I26,2)&lt;6,IF(VLOOKUP(WEEKDAY($I26,2),InputUge,3)&gt;0,IF($A26="",VLOOKUP(WEEKDAY($I26,2),InputUge,3)+MAX(B$8:B25),IF($A26&lt;VLOOKUP(WEEKDAY($I26,2),InputUge,3),$A26+MAX(B$8:B25),VLOOKUP(WEEKDAY($I26,2),InputUge,3)+MAX(B$8:B25))),""),""),"")</f>
        <v/>
      </c>
      <c r="C26" s="144">
        <f t="shared" si="7"/>
        <v>1</v>
      </c>
      <c r="D26" s="146" t="e">
        <f t="shared" si="8"/>
        <v>#VALUE!</v>
      </c>
      <c r="E26" s="146" t="e">
        <f t="shared" si="9"/>
        <v>#VALUE!</v>
      </c>
      <c r="F26" s="146" t="e">
        <f t="shared" si="10"/>
        <v>#VALUE!</v>
      </c>
      <c r="G26" s="261"/>
      <c r="H26" s="4">
        <v>18</v>
      </c>
      <c r="I26" s="16">
        <f t="shared" si="11"/>
        <v>41412</v>
      </c>
      <c r="J26" s="6"/>
      <c r="K26" s="6"/>
      <c r="L26" s="5"/>
      <c r="M26" s="141"/>
      <c r="N26" s="141"/>
      <c r="O26" s="141"/>
      <c r="P26" s="162"/>
      <c r="Q26" s="572"/>
      <c r="R26" s="573"/>
      <c r="S26" s="573"/>
      <c r="T26" s="574"/>
      <c r="U26" s="442"/>
      <c r="V26" s="241">
        <f t="shared" si="13"/>
        <v>0</v>
      </c>
      <c r="W26" s="241">
        <f t="shared" si="14"/>
        <v>0</v>
      </c>
      <c r="X26" s="241">
        <f t="shared" si="15"/>
        <v>0</v>
      </c>
      <c r="Y26" s="443">
        <f t="shared" si="16"/>
        <v>0</v>
      </c>
      <c r="Z26" s="442"/>
      <c r="AA26" s="442"/>
      <c r="AB26" s="442"/>
      <c r="AC26" s="442"/>
      <c r="AD26" s="442"/>
      <c r="AE26" s="241">
        <f t="shared" si="1"/>
        <v>0</v>
      </c>
      <c r="AF26" s="241">
        <f t="shared" si="17"/>
        <v>0</v>
      </c>
      <c r="AG26" s="241">
        <f t="shared" si="2"/>
        <v>0</v>
      </c>
      <c r="AH26" s="443">
        <f t="shared" si="18"/>
        <v>0</v>
      </c>
      <c r="AI26" s="442"/>
      <c r="AJ26" s="442"/>
      <c r="AK26" s="442"/>
      <c r="AL26" s="442"/>
      <c r="AM26" s="476"/>
      <c r="AN26" s="241">
        <f t="shared" si="3"/>
        <v>0</v>
      </c>
      <c r="AO26" s="241">
        <f t="shared" si="4"/>
        <v>0</v>
      </c>
      <c r="AP26" s="241">
        <f t="shared" si="5"/>
        <v>0</v>
      </c>
      <c r="AQ26" s="443">
        <f t="shared" si="12"/>
        <v>0</v>
      </c>
      <c r="AR26" s="444"/>
      <c r="AS26" s="444"/>
      <c r="AT26" s="444"/>
      <c r="AU26" s="445"/>
      <c r="AZ26" s="189"/>
      <c r="BA26" s="189"/>
      <c r="BB26" s="189"/>
      <c r="BC26" s="189"/>
      <c r="BD26" s="189"/>
      <c r="BE26" s="189"/>
      <c r="BG26" s="145" t="e">
        <f>IF($K26&gt;=0,+SUM(L$9:$L26)-$B26+Maj!$AZ$41+SUM(AQ$9:$AQ26)," ")</f>
        <v>#VALUE!</v>
      </c>
      <c r="BH26" s="144" t="e">
        <f t="shared" si="19"/>
        <v>#VALUE!</v>
      </c>
      <c r="BI26" s="146" t="e">
        <f t="shared" si="20"/>
        <v>#VALUE!</v>
      </c>
      <c r="BJ26" s="146" t="e">
        <f t="shared" si="21"/>
        <v>#VALUE!</v>
      </c>
      <c r="BK26" s="146" t="e">
        <f t="shared" si="22"/>
        <v>#VALUE!</v>
      </c>
      <c r="BL26" s="164"/>
      <c r="BM26" s="157">
        <f t="shared" si="24"/>
        <v>0</v>
      </c>
      <c r="BN26">
        <f t="shared" si="6"/>
        <v>2</v>
      </c>
    </row>
    <row r="27" spans="1:66" ht="15.95" customHeight="1" x14ac:dyDescent="0.25">
      <c r="A27" s="83"/>
      <c r="B27" s="84" t="str">
        <f>IF($I27&lt;&gt;"",IF(WEEKDAY($I27,2)&lt;6,IF(VLOOKUP(WEEKDAY($I27,2),InputUge,3)&gt;0,IF($A27="",VLOOKUP(WEEKDAY($I27,2),InputUge,3)+MAX(B$8:B26),IF($A27&lt;VLOOKUP(WEEKDAY($I27,2),InputUge,3),$A27+MAX(B$8:B26),VLOOKUP(WEEKDAY($I27,2),InputUge,3)+MAX(B$8:B26))),""),""),"")</f>
        <v/>
      </c>
      <c r="C27" s="144">
        <f t="shared" si="7"/>
        <v>1</v>
      </c>
      <c r="D27" s="146" t="e">
        <f t="shared" si="8"/>
        <v>#VALUE!</v>
      </c>
      <c r="E27" s="146" t="e">
        <f t="shared" si="9"/>
        <v>#VALUE!</v>
      </c>
      <c r="F27" s="146" t="e">
        <f t="shared" si="10"/>
        <v>#VALUE!</v>
      </c>
      <c r="G27" s="261"/>
      <c r="H27" s="4">
        <v>19</v>
      </c>
      <c r="I27" s="16">
        <f t="shared" si="11"/>
        <v>41413</v>
      </c>
      <c r="J27" s="6"/>
      <c r="K27" s="6"/>
      <c r="L27" s="5"/>
      <c r="M27" s="141"/>
      <c r="N27" s="141"/>
      <c r="O27" s="141"/>
      <c r="P27" s="141"/>
      <c r="Q27" s="572"/>
      <c r="R27" s="573"/>
      <c r="S27" s="573"/>
      <c r="T27" s="574"/>
      <c r="U27" s="442"/>
      <c r="V27" s="241">
        <f t="shared" si="13"/>
        <v>0</v>
      </c>
      <c r="W27" s="241">
        <f t="shared" si="14"/>
        <v>0</v>
      </c>
      <c r="X27" s="241">
        <f t="shared" si="15"/>
        <v>0</v>
      </c>
      <c r="Y27" s="443">
        <f t="shared" si="16"/>
        <v>0</v>
      </c>
      <c r="Z27" s="442"/>
      <c r="AA27" s="442"/>
      <c r="AB27" s="442"/>
      <c r="AC27" s="442"/>
      <c r="AD27" s="442"/>
      <c r="AE27" s="241">
        <f t="shared" si="1"/>
        <v>0</v>
      </c>
      <c r="AF27" s="241">
        <f t="shared" si="17"/>
        <v>0</v>
      </c>
      <c r="AG27" s="241">
        <f t="shared" si="2"/>
        <v>0</v>
      </c>
      <c r="AH27" s="443">
        <f t="shared" si="18"/>
        <v>0</v>
      </c>
      <c r="AI27" s="442"/>
      <c r="AJ27" s="442"/>
      <c r="AK27" s="442"/>
      <c r="AL27" s="442"/>
      <c r="AM27" s="476"/>
      <c r="AN27" s="241">
        <f t="shared" si="3"/>
        <v>0</v>
      </c>
      <c r="AO27" s="241">
        <f t="shared" si="4"/>
        <v>0</v>
      </c>
      <c r="AP27" s="241">
        <f t="shared" si="5"/>
        <v>0</v>
      </c>
      <c r="AQ27" s="443">
        <f t="shared" si="12"/>
        <v>0</v>
      </c>
      <c r="AR27" s="444"/>
      <c r="AS27" s="444"/>
      <c r="AT27" s="444"/>
      <c r="AU27" s="445"/>
      <c r="AZ27" s="189"/>
      <c r="BA27" s="189"/>
      <c r="BB27" s="189"/>
      <c r="BC27" s="189"/>
      <c r="BD27" s="189"/>
      <c r="BE27" s="189"/>
      <c r="BG27" s="145" t="e">
        <f>IF($K27&gt;=0,+SUM(L$9:$L27)-$B27+Maj!$AZ$41+SUM(AQ$9:$AQ27)," ")</f>
        <v>#VALUE!</v>
      </c>
      <c r="BH27" s="144" t="e">
        <f t="shared" si="19"/>
        <v>#VALUE!</v>
      </c>
      <c r="BI27" s="146" t="e">
        <f t="shared" si="20"/>
        <v>#VALUE!</v>
      </c>
      <c r="BJ27" s="146" t="e">
        <f t="shared" si="21"/>
        <v>#VALUE!</v>
      </c>
      <c r="BK27" s="146" t="e">
        <f t="shared" si="22"/>
        <v>#VALUE!</v>
      </c>
      <c r="BL27" s="164"/>
      <c r="BM27" s="157">
        <f t="shared" si="24"/>
        <v>0</v>
      </c>
      <c r="BN27">
        <f t="shared" si="6"/>
        <v>2</v>
      </c>
    </row>
    <row r="28" spans="1:66" ht="15.95" customHeight="1" x14ac:dyDescent="0.25">
      <c r="A28" s="125" t="s">
        <v>107</v>
      </c>
      <c r="B28" s="84"/>
      <c r="C28" s="144">
        <f t="shared" si="7"/>
        <v>1</v>
      </c>
      <c r="D28" s="146">
        <f>FLOOR(B28,C28)</f>
        <v>0</v>
      </c>
      <c r="E28" s="146">
        <f>+B28-D28</f>
        <v>0</v>
      </c>
      <c r="F28" s="146">
        <f t="shared" si="10"/>
        <v>0</v>
      </c>
      <c r="G28" s="261"/>
      <c r="H28" s="492">
        <v>20</v>
      </c>
      <c r="I28" s="493">
        <f t="shared" si="11"/>
        <v>41414</v>
      </c>
      <c r="J28" s="6"/>
      <c r="K28" s="6"/>
      <c r="L28" s="5"/>
      <c r="M28" s="141"/>
      <c r="N28" s="141"/>
      <c r="O28" s="141"/>
      <c r="P28" s="162" t="str">
        <f>IF(J28="","",O28+M28)</f>
        <v/>
      </c>
      <c r="Q28" s="572"/>
      <c r="R28" s="573"/>
      <c r="S28" s="573"/>
      <c r="T28" s="574"/>
      <c r="U28" s="442"/>
      <c r="V28" s="241">
        <f t="shared" si="13"/>
        <v>0</v>
      </c>
      <c r="W28" s="241">
        <f t="shared" si="14"/>
        <v>0</v>
      </c>
      <c r="X28" s="241">
        <f t="shared" si="15"/>
        <v>0</v>
      </c>
      <c r="Y28" s="443">
        <f t="shared" si="16"/>
        <v>0</v>
      </c>
      <c r="Z28" s="442"/>
      <c r="AA28" s="442"/>
      <c r="AB28" s="442"/>
      <c r="AC28" s="442"/>
      <c r="AD28" s="442"/>
      <c r="AE28" s="241">
        <f t="shared" si="1"/>
        <v>0</v>
      </c>
      <c r="AF28" s="241">
        <f t="shared" si="17"/>
        <v>0</v>
      </c>
      <c r="AG28" s="241">
        <f t="shared" si="2"/>
        <v>0</v>
      </c>
      <c r="AH28" s="443">
        <f t="shared" si="18"/>
        <v>0</v>
      </c>
      <c r="AI28" s="442"/>
      <c r="AJ28" s="442"/>
      <c r="AK28" s="442"/>
      <c r="AL28" s="442"/>
      <c r="AM28" s="476"/>
      <c r="AN28" s="241">
        <f t="shared" si="3"/>
        <v>0</v>
      </c>
      <c r="AO28" s="241">
        <f t="shared" si="4"/>
        <v>0</v>
      </c>
      <c r="AP28" s="241">
        <f t="shared" si="5"/>
        <v>0</v>
      </c>
      <c r="AQ28" s="443">
        <f t="shared" si="12"/>
        <v>0</v>
      </c>
      <c r="AR28" s="444"/>
      <c r="AS28" s="444"/>
      <c r="AT28" s="444"/>
      <c r="AU28" s="445"/>
      <c r="AZ28" s="189"/>
      <c r="BA28" s="189"/>
      <c r="BB28" s="189"/>
      <c r="BC28" s="189"/>
      <c r="BD28" s="189"/>
      <c r="BE28" s="189"/>
      <c r="BG28" s="145">
        <f>IF($K28&gt;=0,+SUM(L$9:$L28)-$B28+Maj!$AZ$41+SUM(AQ$9:$AQ28)," ")</f>
        <v>87.48</v>
      </c>
      <c r="BH28" s="144">
        <f t="shared" si="19"/>
        <v>1</v>
      </c>
      <c r="BI28" s="146">
        <f t="shared" si="20"/>
        <v>87</v>
      </c>
      <c r="BJ28" s="146">
        <f t="shared" si="21"/>
        <v>0.48000000000000398</v>
      </c>
      <c r="BK28" s="146">
        <f t="shared" si="22"/>
        <v>0.28800000000000237</v>
      </c>
      <c r="BL28" s="164" t="str">
        <f t="shared" si="23"/>
        <v/>
      </c>
      <c r="BM28" s="157" t="str">
        <f t="shared" si="24"/>
        <v/>
      </c>
      <c r="BN28">
        <f t="shared" si="6"/>
        <v>1</v>
      </c>
    </row>
    <row r="29" spans="1:66" s="129" customFormat="1" ht="15.95" customHeight="1" x14ac:dyDescent="0.25">
      <c r="A29" s="125"/>
      <c r="B29" s="84">
        <f>IF($I29&lt;&gt;"",IF(WEEKDAY($I29,2)&lt;6,IF(VLOOKUP(WEEKDAY($I29,2),InputUge,3)&gt;0,IF($A29="",VLOOKUP(WEEKDAY($I29,2),InputUge,3)+MAX(B$8:B28),IF($A29&lt;VLOOKUP(WEEKDAY($I29,2),InputUge,3),$A29+MAX(B$8:B28),VLOOKUP(WEEKDAY($I29,2),InputUge,3)+MAX(B$8:B28))),""),""),"")</f>
        <v>94.546666666666653</v>
      </c>
      <c r="C29" s="144">
        <f t="shared" si="7"/>
        <v>1</v>
      </c>
      <c r="D29" s="146">
        <f t="shared" si="8"/>
        <v>94</v>
      </c>
      <c r="E29" s="146">
        <f t="shared" si="9"/>
        <v>0.54666666666665265</v>
      </c>
      <c r="F29" s="146">
        <f t="shared" si="10"/>
        <v>0.32799999999999158</v>
      </c>
      <c r="G29" s="261">
        <f t="shared" si="0"/>
        <v>94.327999999999989</v>
      </c>
      <c r="H29" s="378">
        <v>21</v>
      </c>
      <c r="I29" s="376">
        <f t="shared" si="11"/>
        <v>41415</v>
      </c>
      <c r="J29" s="6">
        <v>0.34791666666666665</v>
      </c>
      <c r="K29" s="6">
        <v>0.64236111111111105</v>
      </c>
      <c r="L29" s="5">
        <f>IF(K29&gt;0,ROUND(((K29-J29)*24)-SUM(BR29:BS29)+BT29,2)+IF(Fredagsfrokost="n",IF(WEEKDAY($I29,2)=5,IF(K29&gt;=0.5,IF(K29&lt;=13/24,0,0),0),0),0),IF(AW29&gt;0,AW29,""))</f>
        <v>7.07</v>
      </c>
      <c r="M29" s="141">
        <f>FLOOR(L29,1)</f>
        <v>7</v>
      </c>
      <c r="N29" s="141">
        <f>+L29-M29</f>
        <v>7.0000000000000284E-2</v>
      </c>
      <c r="O29" s="141">
        <f>+N29/100*60</f>
        <v>4.2000000000000169E-2</v>
      </c>
      <c r="P29" s="162">
        <f>IF(J29="","",O29+M29)</f>
        <v>7.0419999999999998</v>
      </c>
      <c r="Q29" s="643"/>
      <c r="R29" s="644"/>
      <c r="S29" s="644"/>
      <c r="T29" s="645"/>
      <c r="U29" s="442"/>
      <c r="V29" s="241">
        <f t="shared" ref="V29:V39" si="30">FLOOR(U29,1)</f>
        <v>0</v>
      </c>
      <c r="W29" s="241">
        <f t="shared" ref="W29:W39" si="31">+U29-V29</f>
        <v>0</v>
      </c>
      <c r="X29" s="241">
        <f t="shared" ref="X29:X39" si="32">+W29/60*100</f>
        <v>0</v>
      </c>
      <c r="Y29" s="443">
        <f t="shared" ref="Y29:Y39" si="33">+X29+V29</f>
        <v>0</v>
      </c>
      <c r="Z29" s="442"/>
      <c r="AA29" s="442"/>
      <c r="AB29" s="442"/>
      <c r="AC29" s="442"/>
      <c r="AD29" s="442"/>
      <c r="AE29" s="241">
        <f t="shared" si="1"/>
        <v>0</v>
      </c>
      <c r="AF29" s="241">
        <f t="shared" si="17"/>
        <v>0</v>
      </c>
      <c r="AG29" s="241">
        <f t="shared" si="2"/>
        <v>0</v>
      </c>
      <c r="AH29" s="443">
        <f t="shared" si="18"/>
        <v>0</v>
      </c>
      <c r="AI29" s="442"/>
      <c r="AJ29" s="442"/>
      <c r="AK29" s="442"/>
      <c r="AL29" s="442"/>
      <c r="AM29" s="476"/>
      <c r="AN29" s="241">
        <f t="shared" si="3"/>
        <v>0</v>
      </c>
      <c r="AO29" s="241">
        <f t="shared" si="4"/>
        <v>0</v>
      </c>
      <c r="AP29" s="241">
        <f t="shared" si="5"/>
        <v>0</v>
      </c>
      <c r="AQ29" s="443">
        <f t="shared" si="12"/>
        <v>0</v>
      </c>
      <c r="AR29" s="444"/>
      <c r="AS29" s="444"/>
      <c r="AT29" s="444"/>
      <c r="AU29" s="445"/>
      <c r="AZ29" s="188"/>
      <c r="BA29" s="188"/>
      <c r="BB29" s="188"/>
      <c r="BC29" s="188"/>
      <c r="BD29" s="188"/>
      <c r="BE29" s="188"/>
      <c r="BG29" s="145">
        <f>IF($K29&gt;=0,+SUM(L$9:$L29)-$B29+Maj!$AZ$41+SUM(AQ$9:$AQ29)," ")</f>
        <v>3.3333333333587234E-3</v>
      </c>
      <c r="BH29" s="144">
        <f t="shared" si="19"/>
        <v>1</v>
      </c>
      <c r="BI29" s="146">
        <f t="shared" si="20"/>
        <v>0</v>
      </c>
      <c r="BJ29" s="146">
        <f t="shared" si="21"/>
        <v>3.3333333333587234E-3</v>
      </c>
      <c r="BK29" s="146">
        <f t="shared" si="22"/>
        <v>2.0000000000152339E-3</v>
      </c>
      <c r="BL29" s="164">
        <f t="shared" si="23"/>
        <v>2.0000000000152339E-3</v>
      </c>
      <c r="BM29" s="157">
        <f t="shared" si="24"/>
        <v>7.0419999999999998</v>
      </c>
      <c r="BN29">
        <f t="shared" si="6"/>
        <v>2</v>
      </c>
    </row>
    <row r="30" spans="1:66" s="129" customFormat="1" ht="15.95" customHeight="1" x14ac:dyDescent="0.25">
      <c r="A30" s="125"/>
      <c r="B30" s="84">
        <f>IF($I30&lt;&gt;"",IF(WEEKDAY($I30,2)&lt;6,IF(VLOOKUP(WEEKDAY($I30,2),InputUge,3)&gt;0,IF($A30="",VLOOKUP(WEEKDAY($I30,2),InputUge,3)+MAX(B$8:B29),IF($A30&lt;VLOOKUP(WEEKDAY($I30,2),InputUge,3),$A30+MAX(B$8:B29),VLOOKUP(WEEKDAY($I30,2),InputUge,3)+MAX(B$8:B29))),""),""),"")</f>
        <v>101.61333333333332</v>
      </c>
      <c r="C30" s="144">
        <f t="shared" si="7"/>
        <v>1</v>
      </c>
      <c r="D30" s="146">
        <f t="shared" si="8"/>
        <v>101</v>
      </c>
      <c r="E30" s="146">
        <f t="shared" si="9"/>
        <v>0.61333333333331552</v>
      </c>
      <c r="F30" s="146">
        <f t="shared" si="10"/>
        <v>0.36799999999998928</v>
      </c>
      <c r="G30" s="261">
        <f t="shared" si="0"/>
        <v>101.36799999999999</v>
      </c>
      <c r="H30" s="378">
        <v>22</v>
      </c>
      <c r="I30" s="376">
        <f t="shared" si="11"/>
        <v>41416</v>
      </c>
      <c r="J30" s="6">
        <v>0.34826388888888887</v>
      </c>
      <c r="K30" s="6">
        <v>0.64236111111111105</v>
      </c>
      <c r="L30" s="5">
        <f>IF(K30&gt;0,ROUND(((K30-J30)*24)-SUM(BR30:BS30)+BT30,2)+IF(Fredagsfrokost="n",IF(WEEKDAY($I30,2)=5,IF(K30&gt;=0.5,IF(K30&lt;=13/24,0,0),0),0),0),IF(AW30&gt;0,AW30,""))</f>
        <v>7.06</v>
      </c>
      <c r="M30" s="141">
        <f>FLOOR(L30,1)</f>
        <v>7</v>
      </c>
      <c r="N30" s="141">
        <f>+L30-M30</f>
        <v>5.9999999999999609E-2</v>
      </c>
      <c r="O30" s="141">
        <f>+N30/100*60</f>
        <v>3.5999999999999761E-2</v>
      </c>
      <c r="P30" s="162">
        <f>IF(J30="","",O30+M30)</f>
        <v>7.0359999999999996</v>
      </c>
      <c r="Q30" s="643"/>
      <c r="R30" s="644"/>
      <c r="S30" s="644"/>
      <c r="T30" s="645"/>
      <c r="U30" s="442"/>
      <c r="V30" s="241">
        <f t="shared" si="30"/>
        <v>0</v>
      </c>
      <c r="W30" s="241">
        <f t="shared" si="31"/>
        <v>0</v>
      </c>
      <c r="X30" s="241">
        <f t="shared" si="32"/>
        <v>0</v>
      </c>
      <c r="Y30" s="443">
        <f t="shared" si="33"/>
        <v>0</v>
      </c>
      <c r="Z30" s="442"/>
      <c r="AA30" s="442"/>
      <c r="AB30" s="442"/>
      <c r="AC30" s="442"/>
      <c r="AD30" s="442"/>
      <c r="AE30" s="241">
        <f t="shared" si="1"/>
        <v>0</v>
      </c>
      <c r="AF30" s="241">
        <f t="shared" ref="AF30:AF39" si="34">+AD30-AE30</f>
        <v>0</v>
      </c>
      <c r="AG30" s="241">
        <f t="shared" si="2"/>
        <v>0</v>
      </c>
      <c r="AH30" s="443">
        <f t="shared" ref="AH30:AH39" si="35">+AG30+AE30</f>
        <v>0</v>
      </c>
      <c r="AI30" s="442"/>
      <c r="AJ30" s="442"/>
      <c r="AK30" s="442"/>
      <c r="AL30" s="442"/>
      <c r="AM30" s="476"/>
      <c r="AN30" s="241">
        <f t="shared" si="3"/>
        <v>0</v>
      </c>
      <c r="AO30" s="241">
        <f t="shared" si="4"/>
        <v>0</v>
      </c>
      <c r="AP30" s="241">
        <f t="shared" si="5"/>
        <v>0</v>
      </c>
      <c r="AQ30" s="443">
        <f t="shared" si="12"/>
        <v>0</v>
      </c>
      <c r="AR30" s="444"/>
      <c r="AS30" s="444"/>
      <c r="AT30" s="444"/>
      <c r="AU30" s="445"/>
      <c r="AZ30" s="188"/>
      <c r="BA30" s="188"/>
      <c r="BB30" s="188"/>
      <c r="BC30" s="188"/>
      <c r="BD30" s="188"/>
      <c r="BE30" s="188"/>
      <c r="BG30" s="145">
        <f>IF($K30&gt;=0,+SUM(L$9:$L30)-$B30+Maj!$AZ$41+SUM(AQ$9:$AQ30)," ")</f>
        <v>-3.33333333330188E-3</v>
      </c>
      <c r="BH30" s="144">
        <f t="shared" si="19"/>
        <v>-1</v>
      </c>
      <c r="BI30" s="146">
        <f t="shared" si="20"/>
        <v>0</v>
      </c>
      <c r="BJ30" s="146">
        <f t="shared" si="21"/>
        <v>-3.33333333330188E-3</v>
      </c>
      <c r="BK30" s="146">
        <f t="shared" si="22"/>
        <v>-1.999999999981128E-3</v>
      </c>
      <c r="BL30" s="164">
        <f t="shared" si="23"/>
        <v>-1.999999999981128E-3</v>
      </c>
      <c r="BM30" s="157">
        <f t="shared" si="24"/>
        <v>7.0359999999999996</v>
      </c>
      <c r="BN30">
        <f t="shared" si="6"/>
        <v>2</v>
      </c>
    </row>
    <row r="31" spans="1:66" ht="15.95" customHeight="1" x14ac:dyDescent="0.25">
      <c r="A31" s="83"/>
      <c r="B31" s="84">
        <f>IF($I31&lt;&gt;"",IF(WEEKDAY($I31,2)&lt;6,IF(VLOOKUP(WEEKDAY($I31,2),InputUge,3)&gt;0,IF($A31="",VLOOKUP(WEEKDAY($I31,2),InputUge,3)+MAX(B$8:B30),IF($A31&lt;VLOOKUP(WEEKDAY($I31,2),InputUge,3),$A31+MAX(B$8:B30),VLOOKUP(WEEKDAY($I31,2),InputUge,3)+MAX(B$8:B30))),""),""),"")</f>
        <v>111.02333333333331</v>
      </c>
      <c r="C31" s="144">
        <f t="shared" si="7"/>
        <v>1</v>
      </c>
      <c r="D31" s="146">
        <f t="shared" si="8"/>
        <v>111</v>
      </c>
      <c r="E31" s="146">
        <f t="shared" si="9"/>
        <v>2.3333333333312112E-2</v>
      </c>
      <c r="F31" s="146">
        <f t="shared" si="10"/>
        <v>1.3999999999987267E-2</v>
      </c>
      <c r="G31" s="261">
        <f t="shared" si="0"/>
        <v>111.01399999999998</v>
      </c>
      <c r="H31" s="4">
        <v>23</v>
      </c>
      <c r="I31" s="16">
        <f t="shared" si="11"/>
        <v>41417</v>
      </c>
      <c r="J31" s="6">
        <v>0.34791666666666665</v>
      </c>
      <c r="K31" s="6">
        <v>0.73981481481481481</v>
      </c>
      <c r="L31" s="5">
        <f>IF(K31&gt;0,ROUND(((K31-J31)*24)-SUM(BR31:BS31)+BT31,2)+IF(Fredagsfrokost="n",IF(WEEKDAY($I31,2)=5,IF(K31&gt;=0.5,IF(K31&lt;=13/24,0,0),0),0),0),IF(AW31&gt;0,AW31,""))</f>
        <v>9.41</v>
      </c>
      <c r="M31" s="141">
        <f>FLOOR(L31,1)</f>
        <v>9</v>
      </c>
      <c r="N31" s="141">
        <f>+L31-M31</f>
        <v>0.41000000000000014</v>
      </c>
      <c r="O31" s="141">
        <f>+N31/100*60</f>
        <v>0.24600000000000008</v>
      </c>
      <c r="P31" s="162">
        <f>IF(J31="","",O31+M31)</f>
        <v>9.2460000000000004</v>
      </c>
      <c r="Q31" s="572"/>
      <c r="R31" s="573"/>
      <c r="S31" s="573"/>
      <c r="T31" s="574"/>
      <c r="U31" s="442"/>
      <c r="V31" s="241">
        <f t="shared" si="30"/>
        <v>0</v>
      </c>
      <c r="W31" s="241">
        <f t="shared" si="31"/>
        <v>0</v>
      </c>
      <c r="X31" s="241">
        <f t="shared" si="32"/>
        <v>0</v>
      </c>
      <c r="Y31" s="443">
        <f t="shared" si="33"/>
        <v>0</v>
      </c>
      <c r="Z31" s="442"/>
      <c r="AA31" s="442"/>
      <c r="AB31" s="442"/>
      <c r="AC31" s="442"/>
      <c r="AD31" s="442"/>
      <c r="AE31" s="241">
        <f t="shared" si="1"/>
        <v>0</v>
      </c>
      <c r="AF31" s="241">
        <f t="shared" si="34"/>
        <v>0</v>
      </c>
      <c r="AG31" s="241">
        <f t="shared" si="2"/>
        <v>0</v>
      </c>
      <c r="AH31" s="443">
        <f t="shared" si="35"/>
        <v>0</v>
      </c>
      <c r="AI31" s="442"/>
      <c r="AJ31" s="442"/>
      <c r="AK31" s="442"/>
      <c r="AL31" s="442"/>
      <c r="AM31" s="476"/>
      <c r="AN31" s="241">
        <f t="shared" si="3"/>
        <v>0</v>
      </c>
      <c r="AO31" s="241">
        <f t="shared" si="4"/>
        <v>0</v>
      </c>
      <c r="AP31" s="241">
        <f t="shared" si="5"/>
        <v>0</v>
      </c>
      <c r="AQ31" s="443">
        <f t="shared" si="12"/>
        <v>0</v>
      </c>
      <c r="AR31" s="444"/>
      <c r="AS31" s="444"/>
      <c r="AT31" s="444"/>
      <c r="AU31" s="445"/>
      <c r="AZ31" s="189"/>
      <c r="BA31" s="189"/>
      <c r="BB31" s="189"/>
      <c r="BC31" s="189"/>
      <c r="BD31" s="189"/>
      <c r="BE31" s="189"/>
      <c r="BG31" s="145">
        <f>IF($K31&gt;=0,+SUM(L$9:$L31)-$B31+Maj!$AZ$41+SUM(AQ$9:$AQ31)," ")</f>
        <v>-3.33333333330188E-3</v>
      </c>
      <c r="BH31" s="144">
        <f t="shared" si="19"/>
        <v>-1</v>
      </c>
      <c r="BI31" s="146">
        <f t="shared" si="20"/>
        <v>0</v>
      </c>
      <c r="BJ31" s="146">
        <f t="shared" si="21"/>
        <v>-3.33333333330188E-3</v>
      </c>
      <c r="BK31" s="146">
        <f t="shared" si="22"/>
        <v>-1.999999999981128E-3</v>
      </c>
      <c r="BL31" s="164">
        <f t="shared" si="23"/>
        <v>-1.999999999981128E-3</v>
      </c>
      <c r="BM31" s="157">
        <f t="shared" si="24"/>
        <v>9.2460000000000004</v>
      </c>
      <c r="BN31">
        <f t="shared" si="6"/>
        <v>2</v>
      </c>
    </row>
    <row r="32" spans="1:66" ht="15.95" customHeight="1" x14ac:dyDescent="0.25">
      <c r="A32" s="125"/>
      <c r="B32" s="84">
        <f>IF($I32&lt;&gt;"",IF(WEEKDAY($I32,2)&lt;6,IF(VLOOKUP(WEEKDAY($I32,2),InputUge,3)&gt;0,IF($A32="",VLOOKUP(WEEKDAY($I32,2),InputUge,3)+MAX(B$8:B31),IF($A32&lt;VLOOKUP(WEEKDAY($I32,2),InputUge,3),$A32+MAX(B$8:B31),VLOOKUP(WEEKDAY($I32,2),InputUge,3)+MAX(B$8:B31))),""),""),"")</f>
        <v>117.42333333333332</v>
      </c>
      <c r="C32" s="144">
        <f t="shared" si="7"/>
        <v>1</v>
      </c>
      <c r="D32" s="146">
        <f t="shared" si="8"/>
        <v>117</v>
      </c>
      <c r="E32" s="146">
        <f t="shared" si="9"/>
        <v>0.4233333333333178</v>
      </c>
      <c r="F32" s="146">
        <f t="shared" si="10"/>
        <v>0.25399999999999068</v>
      </c>
      <c r="G32" s="261">
        <f t="shared" si="0"/>
        <v>117.25399999999999</v>
      </c>
      <c r="H32" s="4">
        <v>24</v>
      </c>
      <c r="I32" s="16">
        <f t="shared" si="11"/>
        <v>41418</v>
      </c>
      <c r="J32" s="6">
        <v>0.34791666666666665</v>
      </c>
      <c r="K32" s="6">
        <v>0.61458333333333337</v>
      </c>
      <c r="L32" s="5">
        <f>IF(K32&gt;0,ROUND(((K32-J32)*24)-SUM(BR32:BS32)+BT32,2)+IF(Fredagsfrokost="n",IF(WEEKDAY($I32,2)=5,IF(K32&gt;=0.5,IF(K32&lt;=13/24,0,0),0),0),0),IF(AW32&gt;0,AW32,""))</f>
        <v>6.4</v>
      </c>
      <c r="M32" s="141">
        <f>FLOOR(L32,1)</f>
        <v>6</v>
      </c>
      <c r="N32" s="141">
        <f>+L32-M32</f>
        <v>0.40000000000000036</v>
      </c>
      <c r="O32" s="141">
        <f>+N32/100*60</f>
        <v>0.24000000000000021</v>
      </c>
      <c r="P32" s="162">
        <f>IF(J32="","",O32+M32)</f>
        <v>6.24</v>
      </c>
      <c r="Q32" s="572"/>
      <c r="R32" s="573"/>
      <c r="S32" s="573"/>
      <c r="T32" s="574"/>
      <c r="U32" s="442"/>
      <c r="V32" s="241">
        <f t="shared" si="30"/>
        <v>0</v>
      </c>
      <c r="W32" s="241">
        <f t="shared" si="31"/>
        <v>0</v>
      </c>
      <c r="X32" s="241">
        <f t="shared" si="32"/>
        <v>0</v>
      </c>
      <c r="Y32" s="443">
        <f t="shared" si="33"/>
        <v>0</v>
      </c>
      <c r="Z32" s="442"/>
      <c r="AA32" s="442"/>
      <c r="AB32" s="442"/>
      <c r="AC32" s="442"/>
      <c r="AD32" s="442"/>
      <c r="AE32" s="241">
        <f t="shared" si="1"/>
        <v>0</v>
      </c>
      <c r="AF32" s="241">
        <f t="shared" si="34"/>
        <v>0</v>
      </c>
      <c r="AG32" s="241">
        <f t="shared" si="2"/>
        <v>0</v>
      </c>
      <c r="AH32" s="443">
        <f t="shared" si="35"/>
        <v>0</v>
      </c>
      <c r="AI32" s="442"/>
      <c r="AJ32" s="442"/>
      <c r="AK32" s="442"/>
      <c r="AL32" s="442"/>
      <c r="AM32" s="476"/>
      <c r="AN32" s="241">
        <f t="shared" si="3"/>
        <v>0</v>
      </c>
      <c r="AO32" s="241">
        <f t="shared" si="4"/>
        <v>0</v>
      </c>
      <c r="AP32" s="241">
        <f t="shared" si="5"/>
        <v>0</v>
      </c>
      <c r="AQ32" s="443">
        <f t="shared" si="12"/>
        <v>0</v>
      </c>
      <c r="AR32" s="444"/>
      <c r="AS32" s="444"/>
      <c r="AT32" s="444"/>
      <c r="AU32" s="445"/>
      <c r="AZ32" s="189"/>
      <c r="BA32" s="189"/>
      <c r="BB32" s="189"/>
      <c r="BC32" s="189"/>
      <c r="BD32" s="189"/>
      <c r="BE32" s="189"/>
      <c r="BG32" s="145">
        <f>IF($K32&gt;=0,+SUM(L$9:$L32)-$B32+Maj!$AZ$41+SUM(AQ$9:$AQ32)," ")</f>
        <v>-3.33333333330188E-3</v>
      </c>
      <c r="BH32" s="144">
        <f t="shared" si="19"/>
        <v>-1</v>
      </c>
      <c r="BI32" s="146">
        <f t="shared" si="20"/>
        <v>0</v>
      </c>
      <c r="BJ32" s="146">
        <f t="shared" si="21"/>
        <v>-3.33333333330188E-3</v>
      </c>
      <c r="BK32" s="146">
        <f t="shared" si="22"/>
        <v>-1.999999999981128E-3</v>
      </c>
      <c r="BL32" s="164">
        <f>IF(BN32=2,+BK32+BI32,"")</f>
        <v>-1.999999999981128E-3</v>
      </c>
      <c r="BM32" s="157">
        <f t="shared" si="24"/>
        <v>6.24</v>
      </c>
      <c r="BN32">
        <f t="shared" si="6"/>
        <v>2</v>
      </c>
    </row>
    <row r="33" spans="1:67" ht="15.95" customHeight="1" x14ac:dyDescent="0.25">
      <c r="A33" s="83"/>
      <c r="B33" s="84" t="str">
        <f>IF($I33&lt;&gt;"",IF(WEEKDAY($I33,2)&lt;6,IF(VLOOKUP(WEEKDAY($I33,2),InputUge,3)&gt;0,IF($A33="",VLOOKUP(WEEKDAY($I33,2),InputUge,3)+MAX(B$8:B32),IF($A33&lt;VLOOKUP(WEEKDAY($I33,2),InputUge,3),$A33+MAX(B$8:B32),VLOOKUP(WEEKDAY($I33,2),InputUge,3)+MAX(B$8:B32))),""),""),"")</f>
        <v/>
      </c>
      <c r="C33" s="144">
        <f t="shared" si="7"/>
        <v>1</v>
      </c>
      <c r="D33" s="146" t="e">
        <f t="shared" si="8"/>
        <v>#VALUE!</v>
      </c>
      <c r="E33" s="146" t="e">
        <f t="shared" si="9"/>
        <v>#VALUE!</v>
      </c>
      <c r="F33" s="146" t="e">
        <f t="shared" si="10"/>
        <v>#VALUE!</v>
      </c>
      <c r="G33" s="261"/>
      <c r="H33" s="4">
        <v>25</v>
      </c>
      <c r="I33" s="16">
        <f t="shared" si="11"/>
        <v>41419</v>
      </c>
      <c r="J33" s="6"/>
      <c r="K33" s="6"/>
      <c r="L33" s="5"/>
      <c r="M33" s="141"/>
      <c r="N33" s="141"/>
      <c r="O33" s="141"/>
      <c r="P33" s="162"/>
      <c r="Q33" s="572"/>
      <c r="R33" s="573"/>
      <c r="S33" s="573"/>
      <c r="T33" s="574"/>
      <c r="U33" s="442"/>
      <c r="V33" s="241">
        <f t="shared" si="30"/>
        <v>0</v>
      </c>
      <c r="W33" s="241">
        <f t="shared" si="31"/>
        <v>0</v>
      </c>
      <c r="X33" s="241">
        <f t="shared" si="32"/>
        <v>0</v>
      </c>
      <c r="Y33" s="443">
        <f t="shared" si="33"/>
        <v>0</v>
      </c>
      <c r="Z33" s="442"/>
      <c r="AA33" s="442"/>
      <c r="AB33" s="442"/>
      <c r="AC33" s="442"/>
      <c r="AD33" s="442"/>
      <c r="AE33" s="241">
        <f t="shared" si="1"/>
        <v>0</v>
      </c>
      <c r="AF33" s="241">
        <f t="shared" si="34"/>
        <v>0</v>
      </c>
      <c r="AG33" s="241">
        <f t="shared" si="2"/>
        <v>0</v>
      </c>
      <c r="AH33" s="443">
        <f t="shared" si="35"/>
        <v>0</v>
      </c>
      <c r="AI33" s="442"/>
      <c r="AJ33" s="442"/>
      <c r="AK33" s="442"/>
      <c r="AL33" s="442"/>
      <c r="AM33" s="476"/>
      <c r="AN33" s="241">
        <f t="shared" si="3"/>
        <v>0</v>
      </c>
      <c r="AO33" s="241">
        <f t="shared" si="4"/>
        <v>0</v>
      </c>
      <c r="AP33" s="241">
        <f t="shared" si="5"/>
        <v>0</v>
      </c>
      <c r="AQ33" s="443">
        <f t="shared" si="12"/>
        <v>0</v>
      </c>
      <c r="AR33" s="444"/>
      <c r="AS33" s="444"/>
      <c r="AT33" s="444"/>
      <c r="AU33" s="445"/>
      <c r="AZ33" s="189"/>
      <c r="BA33" s="189"/>
      <c r="BB33" s="189"/>
      <c r="BC33" s="189"/>
      <c r="BD33" s="189"/>
      <c r="BE33" s="189"/>
      <c r="BG33" s="145" t="e">
        <f>IF($K33&gt;=0,+SUM(L$9:$L33)-$B33+Maj!$AZ$41+SUM(AQ$9:$AQ33)," ")</f>
        <v>#VALUE!</v>
      </c>
      <c r="BH33" s="144" t="e">
        <f t="shared" si="19"/>
        <v>#VALUE!</v>
      </c>
      <c r="BI33" s="146" t="e">
        <f t="shared" si="20"/>
        <v>#VALUE!</v>
      </c>
      <c r="BJ33" s="146" t="e">
        <f t="shared" si="21"/>
        <v>#VALUE!</v>
      </c>
      <c r="BK33" s="146" t="e">
        <f t="shared" si="22"/>
        <v>#VALUE!</v>
      </c>
      <c r="BL33" s="164"/>
      <c r="BM33" s="157">
        <f t="shared" si="24"/>
        <v>0</v>
      </c>
      <c r="BN33">
        <f t="shared" si="6"/>
        <v>2</v>
      </c>
    </row>
    <row r="34" spans="1:67" ht="15.95" customHeight="1" x14ac:dyDescent="0.25">
      <c r="A34" s="83"/>
      <c r="B34" s="84" t="str">
        <f>IF($I34&lt;&gt;"",IF(WEEKDAY($I34,2)&lt;6,IF(VLOOKUP(WEEKDAY($I34,2),InputUge,3)&gt;0,IF($A34="",VLOOKUP(WEEKDAY($I34,2),InputUge,3)+MAX(B$8:B33),IF($A34&lt;VLOOKUP(WEEKDAY($I34,2),InputUge,3),$A34+MAX(B$8:B33),VLOOKUP(WEEKDAY($I34,2),InputUge,3)+MAX(B$8:B33))),""),""),"")</f>
        <v/>
      </c>
      <c r="C34" s="144">
        <f t="shared" si="7"/>
        <v>1</v>
      </c>
      <c r="D34" s="146" t="e">
        <f t="shared" si="8"/>
        <v>#VALUE!</v>
      </c>
      <c r="E34" s="146" t="e">
        <f t="shared" si="9"/>
        <v>#VALUE!</v>
      </c>
      <c r="F34" s="146" t="e">
        <f t="shared" si="10"/>
        <v>#VALUE!</v>
      </c>
      <c r="G34" s="261"/>
      <c r="H34" s="4">
        <v>26</v>
      </c>
      <c r="I34" s="16">
        <f t="shared" si="11"/>
        <v>41420</v>
      </c>
      <c r="J34" s="6"/>
      <c r="K34" s="6"/>
      <c r="L34" s="5"/>
      <c r="M34" s="141"/>
      <c r="N34" s="141"/>
      <c r="O34" s="141"/>
      <c r="P34" s="141"/>
      <c r="Q34" s="572"/>
      <c r="R34" s="573"/>
      <c r="S34" s="573"/>
      <c r="T34" s="574"/>
      <c r="U34" s="442"/>
      <c r="V34" s="241">
        <f t="shared" si="30"/>
        <v>0</v>
      </c>
      <c r="W34" s="241">
        <f t="shared" si="31"/>
        <v>0</v>
      </c>
      <c r="X34" s="241">
        <f t="shared" si="32"/>
        <v>0</v>
      </c>
      <c r="Y34" s="443">
        <f t="shared" si="33"/>
        <v>0</v>
      </c>
      <c r="Z34" s="442"/>
      <c r="AA34" s="442"/>
      <c r="AB34" s="442"/>
      <c r="AC34" s="442"/>
      <c r="AD34" s="442"/>
      <c r="AE34" s="241">
        <f t="shared" si="1"/>
        <v>0</v>
      </c>
      <c r="AF34" s="241">
        <f t="shared" si="34"/>
        <v>0</v>
      </c>
      <c r="AG34" s="241">
        <f t="shared" si="2"/>
        <v>0</v>
      </c>
      <c r="AH34" s="443">
        <f t="shared" si="35"/>
        <v>0</v>
      </c>
      <c r="AI34" s="442"/>
      <c r="AJ34" s="442"/>
      <c r="AK34" s="442"/>
      <c r="AL34" s="442"/>
      <c r="AM34" s="476"/>
      <c r="AN34" s="241">
        <f t="shared" si="3"/>
        <v>0</v>
      </c>
      <c r="AO34" s="241">
        <f t="shared" si="4"/>
        <v>0</v>
      </c>
      <c r="AP34" s="241">
        <f t="shared" si="5"/>
        <v>0</v>
      </c>
      <c r="AQ34" s="443">
        <f t="shared" si="12"/>
        <v>0</v>
      </c>
      <c r="AR34" s="444"/>
      <c r="AS34" s="444"/>
      <c r="AT34" s="444"/>
      <c r="AU34" s="445"/>
      <c r="AZ34" s="189"/>
      <c r="BA34" s="189"/>
      <c r="BB34" s="189"/>
      <c r="BC34" s="189"/>
      <c r="BD34" s="189"/>
      <c r="BE34" s="189"/>
      <c r="BG34" s="145" t="e">
        <f>IF($K34&gt;=0,+SUM(L$9:$L34)-$B34+Maj!$AZ$41+SUM(AQ$9:$AQ34)," ")</f>
        <v>#VALUE!</v>
      </c>
      <c r="BH34" s="144" t="e">
        <f t="shared" si="19"/>
        <v>#VALUE!</v>
      </c>
      <c r="BI34" s="146" t="e">
        <f t="shared" si="20"/>
        <v>#VALUE!</v>
      </c>
      <c r="BJ34" s="146" t="e">
        <f t="shared" si="21"/>
        <v>#VALUE!</v>
      </c>
      <c r="BK34" s="146" t="e">
        <f t="shared" si="22"/>
        <v>#VALUE!</v>
      </c>
      <c r="BL34" s="164"/>
      <c r="BM34" s="157">
        <f t="shared" si="24"/>
        <v>0</v>
      </c>
      <c r="BN34">
        <f t="shared" si="6"/>
        <v>2</v>
      </c>
    </row>
    <row r="35" spans="1:67" ht="15.95" customHeight="1" x14ac:dyDescent="0.25">
      <c r="A35" s="83"/>
      <c r="B35" s="84">
        <f>IF($I35&lt;&gt;"",IF(WEEKDAY($I35,2)&lt;6,IF(VLOOKUP(WEEKDAY($I35,2),InputUge,3)&gt;0,IF($A35="",VLOOKUP(WEEKDAY($I35,2),InputUge,3)+MAX(B$8:B34),IF($A35&lt;VLOOKUP(WEEKDAY($I35,2),InputUge,3),$A35+MAX(B$8:B34),VLOOKUP(WEEKDAY($I35,2),InputUge,3)+MAX(B$8:B34))),""),""),"")</f>
        <v>124.48666666666665</v>
      </c>
      <c r="C35" s="144">
        <f t="shared" si="7"/>
        <v>1</v>
      </c>
      <c r="D35" s="146">
        <f t="shared" si="8"/>
        <v>124</v>
      </c>
      <c r="E35" s="146">
        <f t="shared" si="9"/>
        <v>0.48666666666665037</v>
      </c>
      <c r="F35" s="146">
        <f t="shared" si="10"/>
        <v>0.29199999999999021</v>
      </c>
      <c r="G35" s="261">
        <f t="shared" si="0"/>
        <v>124.29199999999999</v>
      </c>
      <c r="H35" s="4">
        <v>27</v>
      </c>
      <c r="I35" s="16">
        <f t="shared" si="11"/>
        <v>41421</v>
      </c>
      <c r="J35" s="6">
        <v>0.34791666666666665</v>
      </c>
      <c r="K35" s="6">
        <v>0.64236111111111105</v>
      </c>
      <c r="L35" s="5">
        <f>IF(K35&gt;0,ROUND(((K35-J35)*24)-SUM(BR35:BS35)+BT35,2)+IF(Fredagsfrokost="n",IF(WEEKDAY($I35,2)=5,IF(K35&gt;=0.5,IF(K35&lt;=13/24,0,0),0),0),0),IF(AW35&gt;0,AW35,""))</f>
        <v>7.07</v>
      </c>
      <c r="M35" s="141">
        <f t="shared" ref="M35:M40" si="36">FLOOR(L35,1)</f>
        <v>7</v>
      </c>
      <c r="N35" s="141">
        <f t="shared" ref="N35:N40" si="37">+L35-M35</f>
        <v>7.0000000000000284E-2</v>
      </c>
      <c r="O35" s="141">
        <f t="shared" ref="O35:O40" si="38">+N35/100*60</f>
        <v>4.2000000000000169E-2</v>
      </c>
      <c r="P35" s="162">
        <f>IF(J35="","",O35+M35)</f>
        <v>7.0419999999999998</v>
      </c>
      <c r="Q35" s="572"/>
      <c r="R35" s="573"/>
      <c r="S35" s="573"/>
      <c r="T35" s="574"/>
      <c r="U35" s="442"/>
      <c r="V35" s="241">
        <f t="shared" si="30"/>
        <v>0</v>
      </c>
      <c r="W35" s="241">
        <f t="shared" si="31"/>
        <v>0</v>
      </c>
      <c r="X35" s="241">
        <f t="shared" si="32"/>
        <v>0</v>
      </c>
      <c r="Y35" s="443">
        <f t="shared" si="33"/>
        <v>0</v>
      </c>
      <c r="Z35" s="442"/>
      <c r="AA35" s="442"/>
      <c r="AB35" s="442"/>
      <c r="AC35" s="442"/>
      <c r="AD35" s="442"/>
      <c r="AE35" s="241">
        <f t="shared" si="1"/>
        <v>0</v>
      </c>
      <c r="AF35" s="241">
        <f t="shared" si="34"/>
        <v>0</v>
      </c>
      <c r="AG35" s="241">
        <f t="shared" si="2"/>
        <v>0</v>
      </c>
      <c r="AH35" s="443">
        <f t="shared" si="35"/>
        <v>0</v>
      </c>
      <c r="AI35" s="442"/>
      <c r="AJ35" s="442"/>
      <c r="AK35" s="442"/>
      <c r="AL35" s="442"/>
      <c r="AM35" s="476"/>
      <c r="AN35" s="241">
        <f t="shared" si="3"/>
        <v>0</v>
      </c>
      <c r="AO35" s="241">
        <f t="shared" si="4"/>
        <v>0</v>
      </c>
      <c r="AP35" s="241">
        <f t="shared" si="5"/>
        <v>0</v>
      </c>
      <c r="AQ35" s="443">
        <f t="shared" si="12"/>
        <v>0</v>
      </c>
      <c r="AR35" s="444"/>
      <c r="AS35" s="444"/>
      <c r="AT35" s="444"/>
      <c r="AU35" s="445"/>
      <c r="AZ35" s="189"/>
      <c r="BA35" s="189"/>
      <c r="BB35" s="189"/>
      <c r="BC35" s="189"/>
      <c r="BD35" s="189"/>
      <c r="BE35" s="189"/>
      <c r="BG35" s="145">
        <f>IF($K35&gt;=0,+SUM(L$9:$L35)-$B35+Maj!$AZ$41+SUM(AQ$9:$AQ35)," ")</f>
        <v>3.3333333333587234E-3</v>
      </c>
      <c r="BH35" s="144">
        <f t="shared" si="19"/>
        <v>1</v>
      </c>
      <c r="BI35" s="146">
        <f t="shared" si="20"/>
        <v>0</v>
      </c>
      <c r="BJ35" s="146">
        <f t="shared" si="21"/>
        <v>3.3333333333587234E-3</v>
      </c>
      <c r="BK35" s="146">
        <f t="shared" si="22"/>
        <v>2.0000000000152339E-3</v>
      </c>
      <c r="BL35" s="164">
        <f>IF(BN35=2,+BK35+BI35,"")</f>
        <v>2.0000000000152339E-3</v>
      </c>
      <c r="BM35" s="157">
        <f t="shared" si="24"/>
        <v>7.0419999999999998</v>
      </c>
      <c r="BN35">
        <f t="shared" si="6"/>
        <v>2</v>
      </c>
    </row>
    <row r="36" spans="1:67" ht="15.95" customHeight="1" x14ac:dyDescent="0.25">
      <c r="A36" s="125"/>
      <c r="B36" s="84">
        <f>IF($I36&lt;&gt;"",IF(WEEKDAY($I36,2)&lt;6,IF(VLOOKUP(WEEKDAY($I36,2),InputUge,3)&gt;0,IF($A36="",VLOOKUP(WEEKDAY($I36,2),InputUge,3)+MAX(B$8:B35),IF($A36&lt;VLOOKUP(WEEKDAY($I36,2),InputUge,3),$A36+MAX(B$8:B35),VLOOKUP(WEEKDAY($I36,2),InputUge,3)+MAX(B$8:B35))),""),""),"")</f>
        <v>131.55333333333331</v>
      </c>
      <c r="C36" s="144">
        <f t="shared" si="7"/>
        <v>1</v>
      </c>
      <c r="D36" s="146">
        <f t="shared" si="8"/>
        <v>131</v>
      </c>
      <c r="E36" s="146">
        <f t="shared" si="9"/>
        <v>0.55333333333331325</v>
      </c>
      <c r="F36" s="146">
        <f t="shared" si="10"/>
        <v>0.33199999999998797</v>
      </c>
      <c r="G36" s="261">
        <f t="shared" si="0"/>
        <v>131.33199999999999</v>
      </c>
      <c r="H36" s="494">
        <v>28</v>
      </c>
      <c r="I36" s="379">
        <f t="shared" si="11"/>
        <v>41422</v>
      </c>
      <c r="J36" s="6">
        <v>0.34791666666666665</v>
      </c>
      <c r="K36" s="6">
        <v>0.64236111111111105</v>
      </c>
      <c r="L36" s="5">
        <f>IF(K36&gt;0,ROUND(((K36-J36)*24)-SUM(BR36:BS36)+BT36,2)+IF(Fredagsfrokost="n",IF(WEEKDAY($I36,2)=5,IF(K36&gt;=0.5,IF(K36&lt;=13/24,0,0),0),0),0),IF(AW36&gt;0,AW36,""))</f>
        <v>7.07</v>
      </c>
      <c r="M36" s="141">
        <f t="shared" si="36"/>
        <v>7</v>
      </c>
      <c r="N36" s="141">
        <f t="shared" si="37"/>
        <v>7.0000000000000284E-2</v>
      </c>
      <c r="O36" s="141">
        <f t="shared" si="38"/>
        <v>4.2000000000000169E-2</v>
      </c>
      <c r="P36" s="162">
        <f>IF(J36="","",O36+M36)</f>
        <v>7.0419999999999998</v>
      </c>
      <c r="Q36" s="572"/>
      <c r="R36" s="573"/>
      <c r="S36" s="573"/>
      <c r="T36" s="574"/>
      <c r="U36" s="442"/>
      <c r="V36" s="241">
        <f t="shared" si="30"/>
        <v>0</v>
      </c>
      <c r="W36" s="241">
        <f t="shared" si="31"/>
        <v>0</v>
      </c>
      <c r="X36" s="241">
        <f t="shared" si="32"/>
        <v>0</v>
      </c>
      <c r="Y36" s="443">
        <f t="shared" si="33"/>
        <v>0</v>
      </c>
      <c r="Z36" s="442"/>
      <c r="AA36" s="442"/>
      <c r="AB36" s="442"/>
      <c r="AC36" s="442"/>
      <c r="AD36" s="442"/>
      <c r="AE36" s="241">
        <f t="shared" si="1"/>
        <v>0</v>
      </c>
      <c r="AF36" s="241">
        <f t="shared" si="34"/>
        <v>0</v>
      </c>
      <c r="AG36" s="241">
        <f t="shared" si="2"/>
        <v>0</v>
      </c>
      <c r="AH36" s="443">
        <f t="shared" si="35"/>
        <v>0</v>
      </c>
      <c r="AI36" s="442"/>
      <c r="AJ36" s="442"/>
      <c r="AK36" s="442"/>
      <c r="AL36" s="442"/>
      <c r="AM36" s="476"/>
      <c r="AN36" s="241">
        <f t="shared" si="3"/>
        <v>0</v>
      </c>
      <c r="AO36" s="241">
        <f t="shared" si="4"/>
        <v>0</v>
      </c>
      <c r="AP36" s="241">
        <f t="shared" si="5"/>
        <v>0</v>
      </c>
      <c r="AQ36" s="443">
        <f t="shared" si="12"/>
        <v>0</v>
      </c>
      <c r="AR36" s="444"/>
      <c r="AS36" s="444"/>
      <c r="AT36" s="444"/>
      <c r="AU36" s="445"/>
      <c r="AZ36" s="189"/>
      <c r="BA36" s="189"/>
      <c r="BB36" s="189"/>
      <c r="BC36" s="189"/>
      <c r="BD36" s="189"/>
      <c r="BE36" s="189"/>
      <c r="BG36" s="145">
        <f>IF($K36&gt;=0,+SUM(L$9:$L36)-$B36+Maj!$AZ$41+SUM(AQ$9:$AQ36)," ")</f>
        <v>6.6666666666890251E-3</v>
      </c>
      <c r="BH36" s="144">
        <f t="shared" si="19"/>
        <v>1</v>
      </c>
      <c r="BI36" s="146">
        <f t="shared" si="20"/>
        <v>0</v>
      </c>
      <c r="BJ36" s="146">
        <f t="shared" si="21"/>
        <v>6.6666666666890251E-3</v>
      </c>
      <c r="BK36" s="146">
        <f t="shared" si="22"/>
        <v>4.0000000000134147E-3</v>
      </c>
      <c r="BL36" s="164">
        <f>IF(BN36=2,+BK36+BI36,"")</f>
        <v>4.0000000000134147E-3</v>
      </c>
      <c r="BM36" s="157">
        <f>+P36</f>
        <v>7.0419999999999998</v>
      </c>
      <c r="BN36">
        <f t="shared" si="6"/>
        <v>2</v>
      </c>
    </row>
    <row r="37" spans="1:67" ht="15.95" customHeight="1" x14ac:dyDescent="0.25">
      <c r="A37" s="83"/>
      <c r="B37" s="84">
        <f>IF($I37&lt;&gt;"",IF(WEEKDAY($I37,2)&lt;6,IF(VLOOKUP(WEEKDAY($I37,2),InputUge,3)&gt;0,IF($A37="",VLOOKUP(WEEKDAY($I37,2),InputUge,3)+MAX(B$8:B36),IF($A37&lt;VLOOKUP(WEEKDAY($I37,2),InputUge,3),$A37+MAX(B$8:B36),VLOOKUP(WEEKDAY($I37,2),InputUge,3)+MAX(B$8:B36))),""),""),"")</f>
        <v>138.61999999999998</v>
      </c>
      <c r="C37" s="144">
        <f t="shared" si="7"/>
        <v>1</v>
      </c>
      <c r="D37" s="146">
        <f t="shared" si="8"/>
        <v>138</v>
      </c>
      <c r="E37" s="146">
        <f t="shared" si="9"/>
        <v>0.61999999999997613</v>
      </c>
      <c r="F37" s="146">
        <f t="shared" si="10"/>
        <v>0.37199999999998568</v>
      </c>
      <c r="G37" s="261">
        <f t="shared" si="0"/>
        <v>138.37199999999999</v>
      </c>
      <c r="H37" s="4">
        <v>29</v>
      </c>
      <c r="I37" s="16">
        <f t="shared" si="11"/>
        <v>41423</v>
      </c>
      <c r="J37" s="6">
        <v>0.34826388888888887</v>
      </c>
      <c r="K37" s="6">
        <v>0.64236111111111105</v>
      </c>
      <c r="L37" s="5">
        <f>IF(K37&gt;0,ROUND(((K37-J37)*24)-SUM(BR37:BS37)+BT37,2)+IF(Fredagsfrokost="n",IF(WEEKDAY($I37,2)=5,IF(K37&gt;=0.5,IF(K37&lt;=13/24,0,0),0),0),0),IF(AW37&gt;0,AW37,""))</f>
        <v>7.06</v>
      </c>
      <c r="M37" s="141">
        <f t="shared" si="36"/>
        <v>7</v>
      </c>
      <c r="N37" s="141">
        <f t="shared" si="37"/>
        <v>5.9999999999999609E-2</v>
      </c>
      <c r="O37" s="141">
        <f t="shared" si="38"/>
        <v>3.5999999999999761E-2</v>
      </c>
      <c r="P37" s="162">
        <f>IF(J37="","",O37+M37)</f>
        <v>7.0359999999999996</v>
      </c>
      <c r="Q37" s="572"/>
      <c r="R37" s="573"/>
      <c r="S37" s="573"/>
      <c r="T37" s="574"/>
      <c r="U37" s="442"/>
      <c r="V37" s="241">
        <f t="shared" si="30"/>
        <v>0</v>
      </c>
      <c r="W37" s="241">
        <f t="shared" si="31"/>
        <v>0</v>
      </c>
      <c r="X37" s="241">
        <f t="shared" si="32"/>
        <v>0</v>
      </c>
      <c r="Y37" s="443">
        <f t="shared" si="33"/>
        <v>0</v>
      </c>
      <c r="Z37" s="442"/>
      <c r="AA37" s="442"/>
      <c r="AB37" s="442"/>
      <c r="AC37" s="442"/>
      <c r="AD37" s="442"/>
      <c r="AE37" s="241">
        <f t="shared" si="1"/>
        <v>0</v>
      </c>
      <c r="AF37" s="241">
        <f t="shared" si="34"/>
        <v>0</v>
      </c>
      <c r="AG37" s="241">
        <f t="shared" si="2"/>
        <v>0</v>
      </c>
      <c r="AH37" s="443">
        <f t="shared" si="35"/>
        <v>0</v>
      </c>
      <c r="AI37" s="442"/>
      <c r="AJ37" s="442"/>
      <c r="AK37" s="442"/>
      <c r="AL37" s="442"/>
      <c r="AM37" s="476"/>
      <c r="AN37" s="241">
        <f t="shared" si="3"/>
        <v>0</v>
      </c>
      <c r="AO37" s="241">
        <f t="shared" si="4"/>
        <v>0</v>
      </c>
      <c r="AP37" s="241">
        <f t="shared" si="5"/>
        <v>0</v>
      </c>
      <c r="AQ37" s="443">
        <f t="shared" si="12"/>
        <v>0</v>
      </c>
      <c r="AR37" s="444"/>
      <c r="AS37" s="444"/>
      <c r="AT37" s="444"/>
      <c r="AU37" s="445"/>
      <c r="AZ37" s="189"/>
      <c r="BA37" s="189"/>
      <c r="BB37" s="189"/>
      <c r="BC37" s="189"/>
      <c r="BD37" s="189"/>
      <c r="BE37" s="189"/>
      <c r="BG37" s="145">
        <f>IF($K37&gt;=0,+SUM(L$9:$L37)-$B37+Maj!$AZ$41+SUM(AQ$9:$AQ37)," ")</f>
        <v>2.8421709430404007E-14</v>
      </c>
      <c r="BH37" s="144">
        <f t="shared" si="19"/>
        <v>1</v>
      </c>
      <c r="BI37" s="146">
        <f t="shared" si="20"/>
        <v>0</v>
      </c>
      <c r="BJ37" s="146">
        <f t="shared" si="21"/>
        <v>2.8421709430404007E-14</v>
      </c>
      <c r="BK37" s="146">
        <f t="shared" si="22"/>
        <v>1.7053025658242404E-14</v>
      </c>
      <c r="BL37" s="164">
        <f t="shared" si="23"/>
        <v>1.7053025658242404E-14</v>
      </c>
      <c r="BM37" s="157">
        <f t="shared" si="24"/>
        <v>7.0359999999999996</v>
      </c>
      <c r="BN37">
        <f t="shared" si="6"/>
        <v>2</v>
      </c>
    </row>
    <row r="38" spans="1:67" ht="15.95" customHeight="1" x14ac:dyDescent="0.25">
      <c r="A38" s="83"/>
      <c r="B38" s="84">
        <f>IF($I38&lt;&gt;"",IF(WEEKDAY($I38,2)&lt;6,IF(VLOOKUP(WEEKDAY($I38,2),InputUge,3)&gt;0,IF($A38="",VLOOKUP(WEEKDAY($I38,2),InputUge,3)+MAX(B$8:B37),IF($A38&lt;VLOOKUP(WEEKDAY($I38,2),InputUge,3),$A38+MAX(B$8:B37),VLOOKUP(WEEKDAY($I38,2),InputUge,3)+MAX(B$8:B37))),""),""),"")</f>
        <v>148.02999999999997</v>
      </c>
      <c r="C38" s="144">
        <f t="shared" si="7"/>
        <v>1</v>
      </c>
      <c r="D38" s="146">
        <f t="shared" si="8"/>
        <v>148</v>
      </c>
      <c r="E38" s="146">
        <f t="shared" si="9"/>
        <v>2.9999999999972715E-2</v>
      </c>
      <c r="F38" s="146">
        <f t="shared" si="10"/>
        <v>1.7999999999983626E-2</v>
      </c>
      <c r="G38" s="261">
        <f t="shared" si="0"/>
        <v>148.01799999999997</v>
      </c>
      <c r="H38" s="4">
        <v>30</v>
      </c>
      <c r="I38" s="16">
        <f t="shared" si="11"/>
        <v>41424</v>
      </c>
      <c r="J38" s="6">
        <v>0.34791666666666665</v>
      </c>
      <c r="K38" s="6">
        <v>0.73981481481481481</v>
      </c>
      <c r="L38" s="5">
        <f>IF(K38&gt;0,ROUND(((K38-J38)*24)-SUM(BR38:BS38)+BT38,2)+IF(Fredagsfrokost="n",IF(WEEKDAY($I38,2)=5,IF(K38&gt;=0.5,IF(K38&lt;=13/24,0,0),0),0),0),IF(AW38&gt;0,AW38,""))</f>
        <v>9.41</v>
      </c>
      <c r="M38" s="141">
        <f t="shared" si="36"/>
        <v>9</v>
      </c>
      <c r="N38" s="141">
        <f t="shared" si="37"/>
        <v>0.41000000000000014</v>
      </c>
      <c r="O38" s="141">
        <f t="shared" si="38"/>
        <v>0.24600000000000008</v>
      </c>
      <c r="P38" s="162">
        <f>IF(J38="","",O38+M38)</f>
        <v>9.2460000000000004</v>
      </c>
      <c r="Q38" s="572"/>
      <c r="R38" s="573"/>
      <c r="S38" s="573"/>
      <c r="T38" s="574"/>
      <c r="U38" s="442"/>
      <c r="V38" s="241">
        <f t="shared" si="30"/>
        <v>0</v>
      </c>
      <c r="W38" s="241">
        <f t="shared" si="31"/>
        <v>0</v>
      </c>
      <c r="X38" s="241">
        <f t="shared" si="32"/>
        <v>0</v>
      </c>
      <c r="Y38" s="443">
        <f t="shared" si="33"/>
        <v>0</v>
      </c>
      <c r="Z38" s="442"/>
      <c r="AA38" s="442"/>
      <c r="AB38" s="442"/>
      <c r="AC38" s="442"/>
      <c r="AD38" s="442"/>
      <c r="AE38" s="241">
        <f t="shared" si="1"/>
        <v>0</v>
      </c>
      <c r="AF38" s="241">
        <f t="shared" si="34"/>
        <v>0</v>
      </c>
      <c r="AG38" s="241">
        <f t="shared" si="2"/>
        <v>0</v>
      </c>
      <c r="AH38" s="443">
        <f t="shared" si="35"/>
        <v>0</v>
      </c>
      <c r="AI38" s="442"/>
      <c r="AJ38" s="442"/>
      <c r="AK38" s="442"/>
      <c r="AL38" s="442"/>
      <c r="AM38" s="476"/>
      <c r="AN38" s="241">
        <f t="shared" si="3"/>
        <v>0</v>
      </c>
      <c r="AO38" s="241">
        <f t="shared" si="4"/>
        <v>0</v>
      </c>
      <c r="AP38" s="241">
        <f t="shared" si="5"/>
        <v>0</v>
      </c>
      <c r="AQ38" s="443">
        <f t="shared" si="12"/>
        <v>0</v>
      </c>
      <c r="AR38" s="444"/>
      <c r="AS38" s="444"/>
      <c r="AT38" s="444"/>
      <c r="AU38" s="445"/>
      <c r="AZ38" s="189"/>
      <c r="BA38" s="189"/>
      <c r="BB38" s="189"/>
      <c r="BC38" s="189"/>
      <c r="BD38" s="189"/>
      <c r="BE38" s="189"/>
      <c r="BG38" s="145">
        <f>IF($K38&gt;=0,+SUM(L$9:$L38)-$B38+Maj!$AZ$41+SUM(AQ$9:$AQ38)," ")</f>
        <v>2.8421709430404007E-14</v>
      </c>
      <c r="BH38" s="144">
        <f t="shared" si="19"/>
        <v>1</v>
      </c>
      <c r="BI38" s="146">
        <f t="shared" si="20"/>
        <v>0</v>
      </c>
      <c r="BJ38" s="146">
        <f t="shared" si="21"/>
        <v>2.8421709430404007E-14</v>
      </c>
      <c r="BK38" s="146">
        <f t="shared" si="22"/>
        <v>1.7053025658242404E-14</v>
      </c>
      <c r="BL38" s="164">
        <f t="shared" si="23"/>
        <v>1.7053025658242404E-14</v>
      </c>
      <c r="BM38" s="157">
        <f t="shared" si="24"/>
        <v>9.2460000000000004</v>
      </c>
      <c r="BN38">
        <f t="shared" si="6"/>
        <v>2</v>
      </c>
    </row>
    <row r="39" spans="1:67" ht="15.95" customHeight="1" thickBot="1" x14ac:dyDescent="0.3">
      <c r="A39" s="85"/>
      <c r="B39" s="84">
        <f>IF($I39&lt;&gt;"",IF(WEEKDAY($I39,2)&lt;6,IF(VLOOKUP(WEEKDAY($I39,2),InputUge,3)&gt;0,IF($A39="",VLOOKUP(WEEKDAY($I39,2),InputUge,3)+MAX(B$8:B38),IF($A39&lt;VLOOKUP(WEEKDAY($I39,2),InputUge,3),$A39+MAX(B$8:B38),VLOOKUP(WEEKDAY($I39,2),InputUge,3)+MAX(B$8:B38))),""),""),"")</f>
        <v>154.42999999999998</v>
      </c>
      <c r="C39" s="144">
        <f t="shared" si="7"/>
        <v>1</v>
      </c>
      <c r="D39" s="146">
        <f t="shared" si="8"/>
        <v>154</v>
      </c>
      <c r="E39" s="146">
        <f t="shared" si="9"/>
        <v>0.4299999999999784</v>
      </c>
      <c r="F39" s="146">
        <f t="shared" si="10"/>
        <v>0.25799999999998702</v>
      </c>
      <c r="G39" s="261">
        <f t="shared" si="0"/>
        <v>154.25799999999998</v>
      </c>
      <c r="H39" s="88">
        <v>31</v>
      </c>
      <c r="I39" s="89">
        <f t="shared" si="11"/>
        <v>41425</v>
      </c>
      <c r="J39" s="6">
        <v>0.34791666666666665</v>
      </c>
      <c r="K39" s="6">
        <v>0.61458333333333337</v>
      </c>
      <c r="L39" s="5">
        <f>IF(K39&gt;0,ROUND(((K39-J39)*24)-SUM(BR39:BS39)+BT39,2)+IF(Fredagsfrokost="n",IF(WEEKDAY($I39,2)=5,IF(K39&gt;=0.5,IF(K39&lt;=13/24,0,0),0),0),0),IF(AW39&gt;0,AW39,""))</f>
        <v>6.4</v>
      </c>
      <c r="M39" s="141">
        <f t="shared" si="36"/>
        <v>6</v>
      </c>
      <c r="N39" s="141">
        <f t="shared" si="37"/>
        <v>0.40000000000000036</v>
      </c>
      <c r="O39" s="141">
        <f t="shared" si="38"/>
        <v>0.24000000000000021</v>
      </c>
      <c r="P39" s="162">
        <f>IF(J39="","",O39+M39)</f>
        <v>6.24</v>
      </c>
      <c r="Q39" s="572"/>
      <c r="R39" s="573"/>
      <c r="S39" s="573"/>
      <c r="T39" s="574"/>
      <c r="U39" s="442"/>
      <c r="V39" s="241">
        <f t="shared" si="30"/>
        <v>0</v>
      </c>
      <c r="W39" s="241">
        <f t="shared" si="31"/>
        <v>0</v>
      </c>
      <c r="X39" s="241">
        <f t="shared" si="32"/>
        <v>0</v>
      </c>
      <c r="Y39" s="443">
        <f t="shared" si="33"/>
        <v>0</v>
      </c>
      <c r="Z39" s="442"/>
      <c r="AA39" s="442"/>
      <c r="AB39" s="442"/>
      <c r="AC39" s="442"/>
      <c r="AD39" s="442"/>
      <c r="AE39" s="241">
        <f t="shared" si="1"/>
        <v>0</v>
      </c>
      <c r="AF39" s="241">
        <f t="shared" si="34"/>
        <v>0</v>
      </c>
      <c r="AG39" s="241">
        <f t="shared" si="2"/>
        <v>0</v>
      </c>
      <c r="AH39" s="443">
        <f t="shared" si="35"/>
        <v>0</v>
      </c>
      <c r="AI39" s="442"/>
      <c r="AJ39" s="442"/>
      <c r="AK39" s="442"/>
      <c r="AL39" s="442"/>
      <c r="AM39" s="476"/>
      <c r="AN39" s="241">
        <f>FLOOR(AM39,1)</f>
        <v>0</v>
      </c>
      <c r="AO39" s="241">
        <f t="shared" si="4"/>
        <v>0</v>
      </c>
      <c r="AP39" s="241">
        <f t="shared" si="5"/>
        <v>0</v>
      </c>
      <c r="AQ39" s="443">
        <f t="shared" si="12"/>
        <v>0</v>
      </c>
      <c r="AR39" s="444"/>
      <c r="AS39" s="444"/>
      <c r="AT39" s="444"/>
      <c r="AU39" s="445"/>
      <c r="AZ39" s="189"/>
      <c r="BA39" s="144"/>
      <c r="BB39" s="144"/>
      <c r="BC39" s="189"/>
      <c r="BD39" s="189"/>
      <c r="BE39" s="189"/>
      <c r="BG39" s="145">
        <f>IF($K39&gt;=0,+SUM(L$9:$L39)-$B39+Maj!$AZ$41+SUM(AQ$9:$AQ39)," ")</f>
        <v>2.8421709430404007E-14</v>
      </c>
      <c r="BH39" s="144">
        <f t="shared" si="19"/>
        <v>1</v>
      </c>
      <c r="BI39" s="146">
        <f t="shared" si="20"/>
        <v>0</v>
      </c>
      <c r="BJ39" s="146">
        <f t="shared" si="21"/>
        <v>2.8421709430404007E-14</v>
      </c>
      <c r="BK39" s="146">
        <f t="shared" si="22"/>
        <v>1.7053025658242404E-14</v>
      </c>
      <c r="BL39" s="164">
        <f t="shared" si="23"/>
        <v>1.7053025658242404E-14</v>
      </c>
      <c r="BM39" s="157">
        <f t="shared" si="24"/>
        <v>6.24</v>
      </c>
      <c r="BN39">
        <f t="shared" si="6"/>
        <v>2</v>
      </c>
      <c r="BO39" s="15"/>
    </row>
    <row r="40" spans="1:67" ht="15.95" customHeight="1" thickBot="1" x14ac:dyDescent="0.3">
      <c r="B40" s="80">
        <f>MAX($B$8:$B39)</f>
        <v>154.42999999999998</v>
      </c>
      <c r="C40" s="80"/>
      <c r="D40" s="80"/>
      <c r="E40" s="80"/>
      <c r="F40" s="80"/>
      <c r="G40" s="272">
        <f>MAX($G$8:$G39)</f>
        <v>154.25799999999998</v>
      </c>
      <c r="H40" s="10" t="s">
        <v>1</v>
      </c>
      <c r="I40" s="14"/>
      <c r="J40" s="612">
        <f>SUM(L40:L40)-SUM(Q41:R41)</f>
        <v>154.43</v>
      </c>
      <c r="K40" s="613"/>
      <c r="L40" s="76">
        <f>SUM(L9:L39)</f>
        <v>154.43</v>
      </c>
      <c r="M40" s="141">
        <f t="shared" si="36"/>
        <v>154</v>
      </c>
      <c r="N40" s="141">
        <f t="shared" si="37"/>
        <v>0.43000000000000682</v>
      </c>
      <c r="O40" s="141">
        <f t="shared" si="38"/>
        <v>0.25800000000000411</v>
      </c>
      <c r="P40" s="276">
        <f>+O40+M40</f>
        <v>154.25800000000001</v>
      </c>
      <c r="Q40" s="646"/>
      <c r="R40" s="647"/>
      <c r="S40" s="648"/>
      <c r="T40" s="649"/>
      <c r="U40" s="457">
        <f>+AC40</f>
        <v>0</v>
      </c>
      <c r="V40" s="457"/>
      <c r="W40" s="457"/>
      <c r="X40" s="457"/>
      <c r="Y40" s="458">
        <f>SUM(Y9:Y39)</f>
        <v>0</v>
      </c>
      <c r="Z40" s="162">
        <f>FLOOR(Y40,1)</f>
        <v>0</v>
      </c>
      <c r="AA40" s="162">
        <f>+Y40-Z40</f>
        <v>0</v>
      </c>
      <c r="AB40" s="162">
        <f>+AA40/100*60</f>
        <v>0</v>
      </c>
      <c r="AC40" s="162">
        <f>+AB40+Z40</f>
        <v>0</v>
      </c>
      <c r="AD40" s="457">
        <f>+AL40</f>
        <v>0</v>
      </c>
      <c r="AE40" s="457"/>
      <c r="AF40" s="457"/>
      <c r="AG40" s="457"/>
      <c r="AH40" s="458">
        <f>SUM(AH9:AH39)</f>
        <v>0</v>
      </c>
      <c r="AI40" s="162">
        <f>FLOOR(AH40,1)</f>
        <v>0</v>
      </c>
      <c r="AJ40" s="162">
        <f>+AH40-AI40</f>
        <v>0</v>
      </c>
      <c r="AK40" s="162">
        <f>+AJ40/100*60</f>
        <v>0</v>
      </c>
      <c r="AL40" s="162">
        <f>+AK40+AI40</f>
        <v>0</v>
      </c>
      <c r="AM40" s="477">
        <f>+AU40</f>
        <v>0</v>
      </c>
      <c r="AN40" s="475"/>
      <c r="AO40" s="458"/>
      <c r="AP40" s="458"/>
      <c r="AQ40" s="458">
        <f>SUM(AQ9:AQ39)</f>
        <v>0</v>
      </c>
      <c r="AR40" s="162">
        <f>FLOOR(AQ40,1)</f>
        <v>0</v>
      </c>
      <c r="AS40" s="162">
        <f>+AQ40-AR40</f>
        <v>0</v>
      </c>
      <c r="AT40" s="162">
        <f>+AS40/100*60</f>
        <v>0</v>
      </c>
      <c r="AU40" s="162">
        <f>+AT40+AR40</f>
        <v>0</v>
      </c>
      <c r="AZ40" s="191"/>
      <c r="BA40" s="144"/>
      <c r="BB40" s="144"/>
      <c r="BC40" s="191"/>
      <c r="BD40" s="191"/>
      <c r="BE40" s="191"/>
      <c r="BG40" s="138"/>
      <c r="BH40" s="143"/>
      <c r="BI40" s="143"/>
      <c r="BJ40" s="143"/>
      <c r="BK40" s="143"/>
      <c r="BL40" s="168"/>
    </row>
    <row r="41" spans="1:67" ht="15.95" customHeight="1" x14ac:dyDescent="0.25">
      <c r="H41" s="623"/>
      <c r="I41" s="623"/>
      <c r="J41" s="624"/>
      <c r="K41" s="624"/>
      <c r="L41" s="624"/>
      <c r="M41" s="123"/>
      <c r="N41" s="123"/>
      <c r="O41" s="123"/>
      <c r="P41" s="265"/>
      <c r="Q41" s="99"/>
      <c r="R41" s="99"/>
      <c r="S41" s="599" t="s">
        <v>10</v>
      </c>
      <c r="T41" s="600"/>
      <c r="U41" s="600"/>
      <c r="V41" s="600"/>
      <c r="W41" s="600"/>
      <c r="X41" s="600"/>
      <c r="Y41" s="600"/>
      <c r="Z41" s="600"/>
      <c r="AA41" s="600"/>
      <c r="AB41" s="600"/>
      <c r="AC41" s="600"/>
      <c r="AD41" s="601"/>
      <c r="AE41" s="601"/>
      <c r="AF41" s="601"/>
      <c r="AG41" s="601"/>
      <c r="AH41" s="601"/>
      <c r="AI41" s="601"/>
      <c r="AJ41" s="601"/>
      <c r="AK41" s="601"/>
      <c r="AL41" s="601"/>
      <c r="AM41" s="601"/>
      <c r="AN41" s="400"/>
      <c r="AO41" s="400"/>
      <c r="AP41" s="400"/>
      <c r="AQ41" s="400"/>
      <c r="AR41" s="400"/>
      <c r="AS41" s="400"/>
      <c r="AT41" s="400"/>
      <c r="AU41" s="400"/>
      <c r="AV41" s="538">
        <f>+Apr!AV43</f>
        <v>0</v>
      </c>
      <c r="AW41" s="538"/>
      <c r="AX41" s="633"/>
      <c r="AZ41" s="190">
        <f>+Apr!AZ43</f>
        <v>0</v>
      </c>
      <c r="BA41" s="144">
        <f>IF(AZ41&lt;0,-1,1)</f>
        <v>1</v>
      </c>
      <c r="BB41" s="146">
        <f>FLOOR(AZ41,BA41)</f>
        <v>0</v>
      </c>
      <c r="BC41" s="141">
        <f>+AZ41-BB41</f>
        <v>0</v>
      </c>
      <c r="BD41" s="141">
        <f>+BC41/100*60</f>
        <v>0</v>
      </c>
      <c r="BE41" s="162">
        <f>+BD41+BB41</f>
        <v>0</v>
      </c>
    </row>
    <row r="42" spans="1:67" ht="15.95" customHeight="1" x14ac:dyDescent="0.25">
      <c r="H42" s="94"/>
      <c r="I42" s="94"/>
      <c r="J42" s="94"/>
      <c r="K42" s="94"/>
      <c r="L42" s="100"/>
      <c r="M42" s="100"/>
      <c r="N42" s="100"/>
      <c r="O42" s="100"/>
      <c r="P42" s="100"/>
      <c r="Q42" s="100"/>
      <c r="R42" s="100"/>
      <c r="S42" s="602" t="s">
        <v>11</v>
      </c>
      <c r="T42" s="603"/>
      <c r="U42" s="603"/>
      <c r="V42" s="603"/>
      <c r="W42" s="603"/>
      <c r="X42" s="603"/>
      <c r="Y42" s="603"/>
      <c r="Z42" s="603"/>
      <c r="AA42" s="603"/>
      <c r="AB42" s="603"/>
      <c r="AC42" s="603"/>
      <c r="AD42" s="604"/>
      <c r="AE42" s="604"/>
      <c r="AF42" s="604"/>
      <c r="AG42" s="604"/>
      <c r="AH42" s="604"/>
      <c r="AI42" s="604"/>
      <c r="AJ42" s="604"/>
      <c r="AK42" s="604"/>
      <c r="AL42" s="604"/>
      <c r="AM42" s="604"/>
      <c r="AN42" s="401"/>
      <c r="AO42" s="401"/>
      <c r="AP42" s="401"/>
      <c r="AQ42" s="401"/>
      <c r="AR42" s="401"/>
      <c r="AS42" s="401"/>
      <c r="AT42" s="401"/>
      <c r="AU42" s="401"/>
      <c r="AV42" s="606">
        <f>+BE42</f>
        <v>154.25800000000001</v>
      </c>
      <c r="AW42" s="606"/>
      <c r="AX42" s="607"/>
      <c r="AY42" s="1"/>
      <c r="AZ42" s="190">
        <f>+J40+AQ40</f>
        <v>154.43</v>
      </c>
      <c r="BA42" s="144">
        <f>IF(AZ42&lt;0,-1,1)</f>
        <v>1</v>
      </c>
      <c r="BB42" s="146">
        <f>FLOOR(AZ42,BA42)</f>
        <v>154</v>
      </c>
      <c r="BC42" s="141">
        <f>+AZ42-BB42</f>
        <v>0.43000000000000682</v>
      </c>
      <c r="BD42" s="141">
        <f>+BC42/100*60</f>
        <v>0.25800000000000411</v>
      </c>
      <c r="BE42" s="162">
        <f>+BD42+BB42</f>
        <v>154.25800000000001</v>
      </c>
    </row>
    <row r="43" spans="1:67" ht="15.95" customHeight="1" x14ac:dyDescent="0.25">
      <c r="H43" s="611"/>
      <c r="I43" s="611"/>
      <c r="J43" s="611"/>
      <c r="K43" s="611"/>
      <c r="L43" s="611"/>
      <c r="M43" s="611"/>
      <c r="N43" s="611"/>
      <c r="O43" s="611"/>
      <c r="P43" s="611"/>
      <c r="Q43" s="611"/>
      <c r="R43" s="611"/>
      <c r="S43" s="602" t="s">
        <v>12</v>
      </c>
      <c r="T43" s="603"/>
      <c r="U43" s="603"/>
      <c r="V43" s="603"/>
      <c r="W43" s="603"/>
      <c r="X43" s="603"/>
      <c r="Y43" s="603"/>
      <c r="Z43" s="603"/>
      <c r="AA43" s="603"/>
      <c r="AB43" s="603"/>
      <c r="AC43" s="603"/>
      <c r="AD43" s="604"/>
      <c r="AE43" s="604"/>
      <c r="AF43" s="604"/>
      <c r="AG43" s="604"/>
      <c r="AH43" s="604"/>
      <c r="AI43" s="604"/>
      <c r="AJ43" s="604"/>
      <c r="AK43" s="604"/>
      <c r="AL43" s="604"/>
      <c r="AM43" s="604"/>
      <c r="AN43" s="401"/>
      <c r="AO43" s="401"/>
      <c r="AP43" s="401"/>
      <c r="AQ43" s="401"/>
      <c r="AR43" s="401"/>
      <c r="AS43" s="401"/>
      <c r="AT43" s="401"/>
      <c r="AU43" s="401"/>
      <c r="AV43" s="543">
        <f>+BE43</f>
        <v>154.25799999999998</v>
      </c>
      <c r="AW43" s="543"/>
      <c r="AX43" s="544"/>
      <c r="AZ43" s="157">
        <f>+B40</f>
        <v>154.42999999999998</v>
      </c>
      <c r="BA43" s="144">
        <f>IF(AZ43&lt;0,-1,1)</f>
        <v>1</v>
      </c>
      <c r="BB43" s="146">
        <f>FLOOR(AZ43,BA43)</f>
        <v>154</v>
      </c>
      <c r="BC43" s="141">
        <f>+AZ43-BB43</f>
        <v>0.4299999999999784</v>
      </c>
      <c r="BD43" s="141">
        <f>+BC43/100*60</f>
        <v>0.25799999999998702</v>
      </c>
      <c r="BE43" s="162">
        <f>+BD43+BB43</f>
        <v>154.25799999999998</v>
      </c>
    </row>
    <row r="44" spans="1:67" ht="15.95" customHeight="1" thickBot="1" x14ac:dyDescent="0.3">
      <c r="H44" s="96"/>
      <c r="I44" s="96"/>
      <c r="J44" s="96"/>
      <c r="K44" s="96"/>
      <c r="L44" s="97"/>
      <c r="M44" s="97"/>
      <c r="N44" s="97"/>
      <c r="O44" s="97"/>
      <c r="P44" s="97"/>
      <c r="Q44" s="96"/>
      <c r="R44" s="96"/>
      <c r="S44" s="596" t="s">
        <v>13</v>
      </c>
      <c r="T44" s="597"/>
      <c r="U44" s="597"/>
      <c r="V44" s="597"/>
      <c r="W44" s="597"/>
      <c r="X44" s="597"/>
      <c r="Y44" s="597"/>
      <c r="Z44" s="597"/>
      <c r="AA44" s="597"/>
      <c r="AB44" s="597"/>
      <c r="AC44" s="597"/>
      <c r="AD44" s="598"/>
      <c r="AE44" s="598"/>
      <c r="AF44" s="598"/>
      <c r="AG44" s="598"/>
      <c r="AH44" s="598"/>
      <c r="AI44" s="598"/>
      <c r="AJ44" s="598"/>
      <c r="AK44" s="598"/>
      <c r="AL44" s="598"/>
      <c r="AM44" s="598"/>
      <c r="AN44" s="402"/>
      <c r="AO44" s="402"/>
      <c r="AP44" s="402"/>
      <c r="AQ44" s="402"/>
      <c r="AR44" s="402"/>
      <c r="AS44" s="402"/>
      <c r="AT44" s="402"/>
      <c r="AU44" s="402"/>
      <c r="AV44" s="545">
        <f>+BE44</f>
        <v>0</v>
      </c>
      <c r="AW44" s="545"/>
      <c r="AX44" s="609"/>
      <c r="AZ44" s="157">
        <f>+AZ41+AZ42-AZ43</f>
        <v>0</v>
      </c>
      <c r="BA44" s="144">
        <f>IF(AZ44&lt;0,-1,1)</f>
        <v>1</v>
      </c>
      <c r="BB44" s="146">
        <f>FLOOR(AZ44,BA44)</f>
        <v>0</v>
      </c>
      <c r="BC44" s="141">
        <f>+AZ44-BB44</f>
        <v>0</v>
      </c>
      <c r="BD44" s="141">
        <f>+BC44/100*60</f>
        <v>0</v>
      </c>
      <c r="BE44" s="162">
        <f>+BD44+BB44</f>
        <v>0</v>
      </c>
    </row>
    <row r="45" spans="1:67" ht="15.95" hidden="1" customHeight="1" x14ac:dyDescent="0.25">
      <c r="H45" s="96"/>
      <c r="I45" s="96"/>
      <c r="J45" s="96"/>
      <c r="K45" s="96"/>
      <c r="L45" s="96"/>
      <c r="M45" s="96"/>
      <c r="N45" s="96"/>
      <c r="O45" s="96"/>
      <c r="P45" s="95"/>
      <c r="Q45" s="96"/>
      <c r="R45" s="96"/>
      <c r="S45" s="171"/>
      <c r="T45" s="170"/>
      <c r="U45" s="170"/>
      <c r="V45" s="170"/>
      <c r="W45" s="170"/>
      <c r="X45" s="170"/>
      <c r="Y45" s="170"/>
      <c r="Z45" s="170"/>
      <c r="AA45" s="170"/>
      <c r="AB45" s="170"/>
      <c r="AC45" s="170"/>
      <c r="AD45" s="267"/>
      <c r="AE45" s="170"/>
      <c r="AF45" s="170"/>
      <c r="AG45" s="170"/>
      <c r="AH45" s="170"/>
      <c r="AI45" s="170"/>
      <c r="AJ45" s="170"/>
      <c r="AK45" s="170"/>
      <c r="AL45" s="170"/>
      <c r="AM45" s="170"/>
      <c r="AN45" s="170"/>
      <c r="AO45" s="170"/>
      <c r="AP45" s="170"/>
      <c r="AQ45" s="170"/>
      <c r="AR45" s="170"/>
      <c r="AS45" s="170"/>
      <c r="AT45" s="170"/>
      <c r="AU45" s="170"/>
      <c r="AV45" s="170"/>
      <c r="AW45" s="170"/>
      <c r="AX45" s="172"/>
    </row>
    <row r="46" spans="1:67" ht="15.95" hidden="1" customHeight="1" thickBot="1" x14ac:dyDescent="0.3">
      <c r="S46" s="589" t="s">
        <v>76</v>
      </c>
      <c r="T46" s="590"/>
      <c r="U46" s="590"/>
      <c r="V46" s="590"/>
      <c r="W46" s="590"/>
      <c r="X46" s="590"/>
      <c r="Y46" s="590"/>
      <c r="Z46" s="590"/>
      <c r="AA46" s="590"/>
      <c r="AB46" s="590"/>
      <c r="AC46" s="590"/>
      <c r="AD46" s="590"/>
      <c r="AE46" s="590"/>
      <c r="AF46" s="590"/>
      <c r="AG46" s="590"/>
      <c r="AH46" s="590"/>
      <c r="AI46" s="590"/>
      <c r="AJ46" s="590"/>
      <c r="AK46" s="590"/>
      <c r="AL46" s="590"/>
      <c r="AM46" s="590"/>
      <c r="AN46" s="175"/>
      <c r="AO46" s="175"/>
      <c r="AP46" s="175"/>
      <c r="AQ46" s="175"/>
      <c r="AR46" s="175"/>
      <c r="AS46" s="175"/>
      <c r="AT46" s="175"/>
      <c r="AU46" s="175"/>
      <c r="AV46" s="594">
        <f>+BE46</f>
        <v>0</v>
      </c>
      <c r="AW46" s="594"/>
      <c r="AX46" s="595"/>
      <c r="AZ46" s="157">
        <f>+Y40+AH40+Feb!AZ44</f>
        <v>0</v>
      </c>
      <c r="BA46" s="157"/>
      <c r="BB46" s="141">
        <f>FLOOR(AZ46,1)</f>
        <v>0</v>
      </c>
      <c r="BC46" s="141">
        <f>+AZ46-BB46</f>
        <v>0</v>
      </c>
      <c r="BD46" s="141">
        <f>+BC46/100*60</f>
        <v>0</v>
      </c>
      <c r="BE46" s="162">
        <f>+BD46+BB46</f>
        <v>0</v>
      </c>
    </row>
  </sheetData>
  <sheetProtection sheet="1" objects="1" scenarios="1"/>
  <mergeCells count="60">
    <mergeCell ref="H1:AZ1"/>
    <mergeCell ref="T8:W8"/>
    <mergeCell ref="U6:AD6"/>
    <mergeCell ref="S41:AM41"/>
    <mergeCell ref="Q33:T33"/>
    <mergeCell ref="Q34:T34"/>
    <mergeCell ref="Q29:T29"/>
    <mergeCell ref="Q30:T30"/>
    <mergeCell ref="AV41:AX41"/>
    <mergeCell ref="Q31:T31"/>
    <mergeCell ref="AV42:AX42"/>
    <mergeCell ref="Q39:T39"/>
    <mergeCell ref="Q35:T35"/>
    <mergeCell ref="Q36:T36"/>
    <mergeCell ref="S42:AM42"/>
    <mergeCell ref="Q40:T40"/>
    <mergeCell ref="Q37:T37"/>
    <mergeCell ref="Q38:T38"/>
    <mergeCell ref="H43:R43"/>
    <mergeCell ref="Q15:T15"/>
    <mergeCell ref="Q16:T16"/>
    <mergeCell ref="Q13:T13"/>
    <mergeCell ref="Q14:T14"/>
    <mergeCell ref="Q19:T19"/>
    <mergeCell ref="Q20:T20"/>
    <mergeCell ref="Q17:T17"/>
    <mergeCell ref="Q18:T18"/>
    <mergeCell ref="Q23:T23"/>
    <mergeCell ref="Q24:T24"/>
    <mergeCell ref="Q21:T21"/>
    <mergeCell ref="Q22:T22"/>
    <mergeCell ref="Q32:T32"/>
    <mergeCell ref="Q27:T27"/>
    <mergeCell ref="Q28:T28"/>
    <mergeCell ref="AX5:AY5"/>
    <mergeCell ref="U5:AV5"/>
    <mergeCell ref="H5:K5"/>
    <mergeCell ref="H41:L41"/>
    <mergeCell ref="J40:K40"/>
    <mergeCell ref="L5:S5"/>
    <mergeCell ref="Q7:T7"/>
    <mergeCell ref="Q9:T9"/>
    <mergeCell ref="Q11:T11"/>
    <mergeCell ref="Q12:T12"/>
    <mergeCell ref="Q10:T10"/>
    <mergeCell ref="Q25:T25"/>
    <mergeCell ref="Q26:T26"/>
    <mergeCell ref="H4:K4"/>
    <mergeCell ref="U3:AV3"/>
    <mergeCell ref="H3:K3"/>
    <mergeCell ref="AX3:AY3"/>
    <mergeCell ref="AX4:AY4"/>
    <mergeCell ref="L3:S3"/>
    <mergeCell ref="L4:S4"/>
    <mergeCell ref="S46:AM46"/>
    <mergeCell ref="AV46:AX46"/>
    <mergeCell ref="S44:AM44"/>
    <mergeCell ref="AV44:AX44"/>
    <mergeCell ref="AV43:AX43"/>
    <mergeCell ref="S43:AM43"/>
  </mergeCells>
  <phoneticPr fontId="0" type="noConversion"/>
  <conditionalFormatting sqref="H9:H39">
    <cfRule type="expression" dxfId="163" priority="52" stopIfTrue="1">
      <formula>IF(WEEKDAY($I9,2)&gt;5,1,0)</formula>
    </cfRule>
    <cfRule type="expression" dxfId="162" priority="53" stopIfTrue="1">
      <formula>IF($I9=TODAY(),1,0)</formula>
    </cfRule>
  </conditionalFormatting>
  <conditionalFormatting sqref="Q9:T39 BA9:BB38 BC9:BE39 AZ9:AZ39 J20:K20 J12:K13 J15:K16 J26:K27 J33:K34">
    <cfRule type="expression" dxfId="161" priority="54" stopIfTrue="1">
      <formula>IF(WEEKDAY($B9,2)&lt;6,1,0)</formula>
    </cfRule>
  </conditionalFormatting>
  <conditionalFormatting sqref="AR40:AU40 BI9:BK39 BB46:BE46 AE9:AG39 BB41:BE44 V9:X39 Z40:AC40 AI40:AL40 AU13 AN9:AP39 M40:P40 L12:P13 L15:P16 L26:P27 L33:P34 L18:P20">
    <cfRule type="cellIs" dxfId="160" priority="55" stopIfTrue="1" operator="lessThan">
      <formula>0</formula>
    </cfRule>
  </conditionalFormatting>
  <conditionalFormatting sqref="G9:G39 B9:B39">
    <cfRule type="expression" dxfId="159" priority="56" stopIfTrue="1">
      <formula>IF(B9=MAX($B$8:B8),1,0)</formula>
    </cfRule>
  </conditionalFormatting>
  <conditionalFormatting sqref="J9:K9">
    <cfRule type="expression" dxfId="158" priority="50" stopIfTrue="1">
      <formula>IF(WEEKDAY($B9,2)&lt;6,1,0)</formula>
    </cfRule>
  </conditionalFormatting>
  <conditionalFormatting sqref="L9:P9">
    <cfRule type="cellIs" dxfId="157" priority="51" stopIfTrue="1" operator="lessThan">
      <formula>0</formula>
    </cfRule>
  </conditionalFormatting>
  <conditionalFormatting sqref="J10:K10">
    <cfRule type="expression" dxfId="156" priority="48" stopIfTrue="1">
      <formula>IF(WEEKDAY($B10,2)&lt;6,1,0)</formula>
    </cfRule>
  </conditionalFormatting>
  <conditionalFormatting sqref="L10:P10">
    <cfRule type="cellIs" dxfId="155" priority="49" stopIfTrue="1" operator="lessThan">
      <formula>0</formula>
    </cfRule>
  </conditionalFormatting>
  <conditionalFormatting sqref="J11:K11">
    <cfRule type="expression" dxfId="154" priority="46" stopIfTrue="1">
      <formula>IF(WEEKDAY($B11,2)&lt;6,1,0)</formula>
    </cfRule>
  </conditionalFormatting>
  <conditionalFormatting sqref="L11:P11">
    <cfRule type="cellIs" dxfId="153" priority="47" stopIfTrue="1" operator="lessThan">
      <formula>0</formula>
    </cfRule>
  </conditionalFormatting>
  <conditionalFormatting sqref="J18:K18">
    <cfRule type="expression" dxfId="152" priority="44" stopIfTrue="1">
      <formula>IF(WEEKDAY($B18,2)&lt;6,1,0)</formula>
    </cfRule>
  </conditionalFormatting>
  <conditionalFormatting sqref="J19:K19">
    <cfRule type="expression" dxfId="151" priority="43" stopIfTrue="1">
      <formula>IF(WEEKDAY($B19,2)&lt;6,1,0)</formula>
    </cfRule>
  </conditionalFormatting>
  <conditionalFormatting sqref="J16:K16">
    <cfRule type="expression" dxfId="150" priority="42" stopIfTrue="1">
      <formula>IF(WEEKDAY($B16,2)&lt;6,1,0)</formula>
    </cfRule>
  </conditionalFormatting>
  <conditionalFormatting sqref="J18:K18">
    <cfRule type="expression" dxfId="149" priority="40" stopIfTrue="1">
      <formula>IF(WEEKDAY($B18,2)&lt;6,1,0)</formula>
    </cfRule>
  </conditionalFormatting>
  <conditionalFormatting sqref="J14:K14">
    <cfRule type="expression" dxfId="148" priority="38" stopIfTrue="1">
      <formula>IF(WEEKDAY($B14,2)&lt;6,1,0)</formula>
    </cfRule>
  </conditionalFormatting>
  <conditionalFormatting sqref="L14:P14">
    <cfRule type="cellIs" dxfId="147" priority="39" stopIfTrue="1" operator="lessThan">
      <formula>0</formula>
    </cfRule>
  </conditionalFormatting>
  <conditionalFormatting sqref="J22:K23">
    <cfRule type="expression" dxfId="146" priority="36" stopIfTrue="1">
      <formula>IF(WEEKDAY($B22,2)&lt;6,1,0)</formula>
    </cfRule>
  </conditionalFormatting>
  <conditionalFormatting sqref="L22:P25">
    <cfRule type="cellIs" dxfId="145" priority="37" stopIfTrue="1" operator="lessThan">
      <formula>0</formula>
    </cfRule>
  </conditionalFormatting>
  <conditionalFormatting sqref="J24:K24">
    <cfRule type="expression" dxfId="144" priority="35" stopIfTrue="1">
      <formula>IF(WEEKDAY($B24,2)&lt;6,1,0)</formula>
    </cfRule>
  </conditionalFormatting>
  <conditionalFormatting sqref="J25:K25">
    <cfRule type="expression" dxfId="143" priority="34" stopIfTrue="1">
      <formula>IF(WEEKDAY($B25,2)&lt;6,1,0)</formula>
    </cfRule>
  </conditionalFormatting>
  <conditionalFormatting sqref="J23:K23">
    <cfRule type="expression" dxfId="142" priority="33" stopIfTrue="1">
      <formula>IF(WEEKDAY($B23,2)&lt;6,1,0)</formula>
    </cfRule>
  </conditionalFormatting>
  <conditionalFormatting sqref="J24:K24">
    <cfRule type="expression" dxfId="141" priority="32" stopIfTrue="1">
      <formula>IF(WEEKDAY($B24,2)&lt;6,1,0)</formula>
    </cfRule>
  </conditionalFormatting>
  <conditionalFormatting sqref="J25:K25">
    <cfRule type="expression" dxfId="140" priority="31" stopIfTrue="1">
      <formula>IF(WEEKDAY($B25,2)&lt;6,1,0)</formula>
    </cfRule>
  </conditionalFormatting>
  <conditionalFormatting sqref="J21:K21">
    <cfRule type="expression" dxfId="139" priority="29" stopIfTrue="1">
      <formula>IF(WEEKDAY($B21,2)&lt;6,1,0)</formula>
    </cfRule>
  </conditionalFormatting>
  <conditionalFormatting sqref="L21:P21">
    <cfRule type="cellIs" dxfId="138" priority="30" stopIfTrue="1" operator="lessThan">
      <formula>0</formula>
    </cfRule>
  </conditionalFormatting>
  <conditionalFormatting sqref="J29:K30">
    <cfRule type="expression" dxfId="137" priority="27" stopIfTrue="1">
      <formula>IF(WEEKDAY($B29,2)&lt;6,1,0)</formula>
    </cfRule>
  </conditionalFormatting>
  <conditionalFormatting sqref="L29:P32">
    <cfRule type="cellIs" dxfId="136" priority="28" stopIfTrue="1" operator="lessThan">
      <formula>0</formula>
    </cfRule>
  </conditionalFormatting>
  <conditionalFormatting sqref="J31:K31">
    <cfRule type="expression" dxfId="135" priority="26" stopIfTrue="1">
      <formula>IF(WEEKDAY($B31,2)&lt;6,1,0)</formula>
    </cfRule>
  </conditionalFormatting>
  <conditionalFormatting sqref="J32:K32">
    <cfRule type="expression" dxfId="134" priority="25" stopIfTrue="1">
      <formula>IF(WEEKDAY($B32,2)&lt;6,1,0)</formula>
    </cfRule>
  </conditionalFormatting>
  <conditionalFormatting sqref="J30:K30">
    <cfRule type="expression" dxfId="133" priority="24" stopIfTrue="1">
      <formula>IF(WEEKDAY($B30,2)&lt;6,1,0)</formula>
    </cfRule>
  </conditionalFormatting>
  <conditionalFormatting sqref="J31:K31">
    <cfRule type="expression" dxfId="132" priority="23" stopIfTrue="1">
      <formula>IF(WEEKDAY($B31,2)&lt;6,1,0)</formula>
    </cfRule>
  </conditionalFormatting>
  <conditionalFormatting sqref="J32:K32">
    <cfRule type="expression" dxfId="131" priority="22" stopIfTrue="1">
      <formula>IF(WEEKDAY($B32,2)&lt;6,1,0)</formula>
    </cfRule>
  </conditionalFormatting>
  <conditionalFormatting sqref="J36:K37">
    <cfRule type="expression" dxfId="130" priority="18" stopIfTrue="1">
      <formula>IF(WEEKDAY($B36,2)&lt;6,1,0)</formula>
    </cfRule>
  </conditionalFormatting>
  <conditionalFormatting sqref="L36:P39">
    <cfRule type="cellIs" dxfId="129" priority="19" stopIfTrue="1" operator="lessThan">
      <formula>0</formula>
    </cfRule>
  </conditionalFormatting>
  <conditionalFormatting sqref="J38:K38">
    <cfRule type="expression" dxfId="128" priority="17" stopIfTrue="1">
      <formula>IF(WEEKDAY($B38,2)&lt;6,1,0)</formula>
    </cfRule>
  </conditionalFormatting>
  <conditionalFormatting sqref="J39:K39">
    <cfRule type="expression" dxfId="127" priority="16" stopIfTrue="1">
      <formula>IF(WEEKDAY($B39,2)&lt;6,1,0)</formula>
    </cfRule>
  </conditionalFormatting>
  <conditionalFormatting sqref="J37:K37">
    <cfRule type="expression" dxfId="126" priority="15" stopIfTrue="1">
      <formula>IF(WEEKDAY($B37,2)&lt;6,1,0)</formula>
    </cfRule>
  </conditionalFormatting>
  <conditionalFormatting sqref="J38:K38">
    <cfRule type="expression" dxfId="125" priority="14" stopIfTrue="1">
      <formula>IF(WEEKDAY($B38,2)&lt;6,1,0)</formula>
    </cfRule>
  </conditionalFormatting>
  <conditionalFormatting sqref="J39:K39">
    <cfRule type="expression" dxfId="124" priority="13" stopIfTrue="1">
      <formula>IF(WEEKDAY($B39,2)&lt;6,1,0)</formula>
    </cfRule>
  </conditionalFormatting>
  <conditionalFormatting sqref="J35:K35">
    <cfRule type="expression" dxfId="123" priority="11" stopIfTrue="1">
      <formula>IF(WEEKDAY($B35,2)&lt;6,1,0)</formula>
    </cfRule>
  </conditionalFormatting>
  <conditionalFormatting sqref="L35:P35">
    <cfRule type="cellIs" dxfId="122" priority="12" stopIfTrue="1" operator="lessThan">
      <formula>0</formula>
    </cfRule>
  </conditionalFormatting>
  <conditionalFormatting sqref="L28:O28">
    <cfRule type="cellIs" dxfId="121" priority="7" stopIfTrue="1" operator="lessThan">
      <formula>0</formula>
    </cfRule>
  </conditionalFormatting>
  <conditionalFormatting sqref="J28">
    <cfRule type="expression" dxfId="120" priority="5" stopIfTrue="1">
      <formula>IF(WEEKDAY($B28,2)&lt;6,1,0)</formula>
    </cfRule>
  </conditionalFormatting>
  <conditionalFormatting sqref="K28">
    <cfRule type="expression" dxfId="119" priority="4" stopIfTrue="1">
      <formula>IF(WEEKDAY($B28,2)&lt;6,1,0)</formula>
    </cfRule>
  </conditionalFormatting>
  <conditionalFormatting sqref="P28">
    <cfRule type="cellIs" dxfId="118" priority="3" stopIfTrue="1" operator="lessThan">
      <formula>0</formula>
    </cfRule>
  </conditionalFormatting>
  <conditionalFormatting sqref="J17:K17">
    <cfRule type="expression" dxfId="117" priority="1" stopIfTrue="1">
      <formula>IF(WEEKDAY($B17,2)&lt;6,1,0)</formula>
    </cfRule>
  </conditionalFormatting>
  <conditionalFormatting sqref="L17:P17">
    <cfRule type="cellIs" dxfId="116" priority="2" stopIfTrue="1" operator="lessThan">
      <formula>0</formula>
    </cfRule>
  </conditionalFormatting>
  <printOptions horizontalCentered="1" verticalCentered="1"/>
  <pageMargins left="0.59055118110236227" right="0.19685039370078741" top="0.19685039370078741" bottom="0.59055118110236227" header="0.51181102362204722" footer="0.51181102362204722"/>
  <pageSetup paperSize="9" scale="110" orientation="portrait" horizont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dimension ref="A1:BO45"/>
  <sheetViews>
    <sheetView zoomScale="75" workbookViewId="0">
      <pane xSplit="9" ySplit="8" topLeftCell="J9" activePane="bottomRight" state="frozen"/>
      <selection activeCell="U24" sqref="U24"/>
      <selection pane="topRight" activeCell="U24" sqref="U24"/>
      <selection pane="bottomLeft" activeCell="U24" sqref="U24"/>
      <selection pane="bottomRight" activeCell="K15" sqref="K15"/>
    </sheetView>
  </sheetViews>
  <sheetFormatPr defaultRowHeight="15" x14ac:dyDescent="0.25"/>
  <cols>
    <col min="1" max="1" width="12.7109375" bestFit="1" customWidth="1"/>
    <col min="2" max="2" width="9.42578125" hidden="1" customWidth="1"/>
    <col min="3" max="3" width="5.28515625" hidden="1" customWidth="1"/>
    <col min="4" max="6" width="9.85546875" hidden="1" customWidth="1"/>
    <col min="7" max="7" width="10" style="270" bestFit="1" customWidth="1"/>
    <col min="8" max="8" width="5.42578125" bestFit="1" customWidth="1"/>
    <col min="9" max="9" width="12" hidden="1" customWidth="1"/>
    <col min="10" max="10" width="7.7109375" bestFit="1" customWidth="1"/>
    <col min="11" max="11" width="7" bestFit="1" customWidth="1"/>
    <col min="12" max="12" width="7.140625" hidden="1" customWidth="1"/>
    <col min="13" max="15" width="9.85546875" hidden="1" customWidth="1"/>
    <col min="16" max="16" width="8.42578125" style="266" customWidth="1"/>
    <col min="17" max="19" width="6.28515625" customWidth="1"/>
    <col min="20" max="20" width="2.5703125" customWidth="1"/>
    <col min="21" max="21" width="17.85546875" bestFit="1" customWidth="1"/>
    <col min="22" max="29" width="5.28515625" hidden="1" customWidth="1"/>
    <col min="30" max="30" width="16.140625" customWidth="1"/>
    <col min="31" max="38" width="5.28515625" hidden="1" customWidth="1"/>
    <col min="39" max="39" width="22.85546875" bestFit="1" customWidth="1"/>
    <col min="40" max="47" width="5.28515625" hidden="1" customWidth="1"/>
    <col min="48" max="48" width="2.85546875" customWidth="1"/>
    <col min="49" max="49" width="4.140625" hidden="1" customWidth="1"/>
    <col min="50" max="50" width="6.28515625" customWidth="1"/>
    <col min="51" max="51" width="8.28515625" customWidth="1"/>
    <col min="52" max="52" width="8.5703125" hidden="1" customWidth="1"/>
    <col min="53" max="53" width="5.28515625" hidden="1" customWidth="1"/>
    <col min="54" max="54" width="7.5703125" hidden="1" customWidth="1"/>
    <col min="55" max="56" width="5.28515625" hidden="1" customWidth="1"/>
    <col min="57" max="57" width="7.5703125" hidden="1" customWidth="1"/>
    <col min="58" max="58" width="3.5703125" hidden="1" customWidth="1"/>
    <col min="59" max="60" width="10" style="134" hidden="1" customWidth="1"/>
    <col min="61" max="63" width="9.85546875" style="134" hidden="1" customWidth="1"/>
    <col min="64" max="64" width="12.140625" style="134" bestFit="1" customWidth="1"/>
    <col min="65" max="65" width="4.5703125" hidden="1" customWidth="1"/>
    <col min="66" max="66" width="2.28515625" hidden="1" customWidth="1"/>
    <col min="67" max="68" width="0" hidden="1" customWidth="1"/>
  </cols>
  <sheetData>
    <row r="1" spans="1:66" ht="18" x14ac:dyDescent="0.25">
      <c r="H1" s="547" t="s">
        <v>114</v>
      </c>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174"/>
      <c r="BB1" s="174"/>
      <c r="BC1" s="174"/>
      <c r="BD1" s="174"/>
      <c r="BE1" s="174"/>
    </row>
    <row r="2" spans="1:66" ht="8.1" customHeight="1" x14ac:dyDescent="0.25">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66" ht="15.95" customHeight="1" x14ac:dyDescent="0.25">
      <c r="H3" s="620" t="s">
        <v>5</v>
      </c>
      <c r="I3" s="621"/>
      <c r="J3" s="621"/>
      <c r="K3" s="622"/>
      <c r="L3" s="555" t="str">
        <f>+Resume!H1</f>
        <v>Lars Larsen</v>
      </c>
      <c r="M3" s="556"/>
      <c r="N3" s="556"/>
      <c r="O3" s="556"/>
      <c r="P3" s="556"/>
      <c r="Q3" s="557"/>
      <c r="R3" s="557"/>
      <c r="S3" s="557"/>
      <c r="T3" s="49"/>
      <c r="U3" s="626" t="s">
        <v>7</v>
      </c>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155"/>
      <c r="AX3" s="558">
        <f>DATE(Nøgletal!B1,6,1)</f>
        <v>41426</v>
      </c>
      <c r="AY3" s="560"/>
      <c r="AZ3" s="183"/>
      <c r="BA3" s="183"/>
      <c r="BB3" s="183"/>
      <c r="BC3" s="183"/>
      <c r="BD3" s="183"/>
      <c r="BE3" s="183"/>
    </row>
    <row r="4" spans="1:66" ht="15.95" customHeight="1" x14ac:dyDescent="0.25">
      <c r="H4" s="625" t="s">
        <v>6</v>
      </c>
      <c r="I4" s="625"/>
      <c r="J4" s="625"/>
      <c r="K4" s="625"/>
      <c r="L4" s="550" t="str">
        <f>+Resume!H2</f>
        <v>010101-0101</v>
      </c>
      <c r="M4" s="551"/>
      <c r="N4" s="551"/>
      <c r="O4" s="551"/>
      <c r="P4" s="551"/>
      <c r="Q4" s="551"/>
      <c r="R4" s="551"/>
      <c r="S4" s="551"/>
      <c r="T4" s="50"/>
      <c r="U4" s="17" t="s">
        <v>8</v>
      </c>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8"/>
      <c r="AW4" s="159"/>
      <c r="AX4" s="561" t="str">
        <f>IF(Resume!I4&lt;&gt;"",Resume!I4,"")</f>
        <v>1 - bagud</v>
      </c>
      <c r="AY4" s="563"/>
      <c r="AZ4" s="184"/>
      <c r="BA4" s="184"/>
      <c r="BB4" s="184"/>
      <c r="BC4" s="184"/>
      <c r="BD4" s="184"/>
      <c r="BE4" s="184"/>
    </row>
    <row r="5" spans="1:66" ht="15.95" customHeight="1" x14ac:dyDescent="0.25">
      <c r="H5" s="620" t="s">
        <v>9</v>
      </c>
      <c r="I5" s="621"/>
      <c r="J5" s="621"/>
      <c r="K5" s="622"/>
      <c r="L5" s="555" t="str">
        <f>+Resume!H3</f>
        <v>SKAT</v>
      </c>
      <c r="M5" s="556"/>
      <c r="N5" s="556"/>
      <c r="O5" s="556"/>
      <c r="P5" s="556"/>
      <c r="Q5" s="557"/>
      <c r="R5" s="557"/>
      <c r="S5" s="557"/>
      <c r="T5" s="49"/>
      <c r="U5" s="617"/>
      <c r="V5" s="618"/>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9"/>
      <c r="AW5" s="156"/>
      <c r="AX5" s="614"/>
      <c r="AY5" s="616"/>
      <c r="AZ5" s="185"/>
      <c r="BA5" s="185"/>
      <c r="BB5" s="185"/>
      <c r="BC5" s="185"/>
      <c r="BD5" s="185"/>
      <c r="BE5" s="185"/>
    </row>
    <row r="6" spans="1:66" ht="43.5" customHeight="1" thickBot="1" x14ac:dyDescent="0.3">
      <c r="H6" s="3"/>
      <c r="I6" s="3"/>
      <c r="J6" s="3"/>
      <c r="K6" s="3"/>
      <c r="L6" s="3"/>
      <c r="M6" s="3"/>
      <c r="N6" s="3"/>
      <c r="O6" s="3"/>
      <c r="P6" s="3"/>
      <c r="Q6" s="426"/>
      <c r="R6" s="426"/>
      <c r="S6" s="426"/>
      <c r="T6" s="426"/>
      <c r="U6" s="628" t="s">
        <v>75</v>
      </c>
      <c r="V6" s="628"/>
      <c r="W6" s="628"/>
      <c r="X6" s="628"/>
      <c r="Y6" s="628"/>
      <c r="Z6" s="628"/>
      <c r="AA6" s="628"/>
      <c r="AB6" s="628"/>
      <c r="AC6" s="628"/>
      <c r="AD6" s="628"/>
      <c r="AE6" s="427"/>
      <c r="AF6" s="427"/>
      <c r="AG6" s="427"/>
      <c r="AH6" s="427"/>
      <c r="AI6" s="427"/>
      <c r="AJ6" s="427"/>
      <c r="AK6" s="427"/>
      <c r="AL6" s="427"/>
      <c r="AM6" s="428" t="s">
        <v>77</v>
      </c>
      <c r="AN6" s="429"/>
      <c r="AO6" s="429"/>
      <c r="AP6" s="429"/>
      <c r="AQ6" s="429"/>
      <c r="AR6" s="429"/>
      <c r="AS6" s="429"/>
      <c r="AT6" s="429"/>
      <c r="AU6" s="429"/>
      <c r="AV6" s="426"/>
      <c r="AW6" s="426"/>
      <c r="AX6" s="426"/>
      <c r="AY6" s="426"/>
      <c r="AZ6" s="101"/>
      <c r="BA6" s="101"/>
      <c r="BB6" s="101"/>
      <c r="BC6" s="101"/>
      <c r="BD6" s="101"/>
      <c r="BE6" s="101"/>
    </row>
    <row r="7" spans="1:66" s="118" customFormat="1" ht="44.25" customHeight="1" thickBot="1" x14ac:dyDescent="0.3">
      <c r="A7" s="112" t="s">
        <v>58</v>
      </c>
      <c r="B7" s="113" t="s">
        <v>18</v>
      </c>
      <c r="C7" s="176"/>
      <c r="D7" s="176"/>
      <c r="E7" s="176"/>
      <c r="F7" s="176"/>
      <c r="G7" s="262" t="s">
        <v>18</v>
      </c>
      <c r="H7" s="114" t="s">
        <v>2</v>
      </c>
      <c r="I7" s="115"/>
      <c r="J7" s="116" t="s">
        <v>3</v>
      </c>
      <c r="K7" s="116" t="s">
        <v>4</v>
      </c>
      <c r="L7" s="117" t="s">
        <v>0</v>
      </c>
      <c r="M7" s="139"/>
      <c r="N7" s="139"/>
      <c r="O7" s="139"/>
      <c r="P7" s="216" t="s">
        <v>69</v>
      </c>
      <c r="Q7" s="586" t="s">
        <v>115</v>
      </c>
      <c r="R7" s="587"/>
      <c r="S7" s="587"/>
      <c r="T7" s="588"/>
      <c r="U7" s="452" t="s">
        <v>116</v>
      </c>
      <c r="V7" s="423"/>
      <c r="W7" s="423"/>
      <c r="X7" s="423"/>
      <c r="Y7" s="423"/>
      <c r="Z7" s="423"/>
      <c r="AA7" s="423"/>
      <c r="AB7" s="423"/>
      <c r="AC7" s="423"/>
      <c r="AD7" s="423" t="s">
        <v>68</v>
      </c>
      <c r="AE7" s="423"/>
      <c r="AF7" s="423"/>
      <c r="AG7" s="423"/>
      <c r="AH7" s="423"/>
      <c r="AI7" s="423"/>
      <c r="AJ7" s="423"/>
      <c r="AK7" s="423"/>
      <c r="AL7" s="423"/>
      <c r="AM7" s="424" t="s">
        <v>91</v>
      </c>
      <c r="AN7" s="425"/>
      <c r="AO7" s="425"/>
      <c r="AP7" s="425"/>
      <c r="AQ7" s="425"/>
      <c r="AR7" s="425"/>
      <c r="AS7" s="425"/>
      <c r="AT7" s="425"/>
      <c r="AU7" s="425"/>
      <c r="AZ7" s="186"/>
      <c r="BA7" s="186"/>
      <c r="BB7" s="186"/>
      <c r="BC7" s="186"/>
      <c r="BD7" s="186"/>
      <c r="BE7" s="186"/>
      <c r="BG7" s="135" t="s">
        <v>61</v>
      </c>
      <c r="BH7" s="142"/>
      <c r="BI7" s="142"/>
      <c r="BJ7" s="142"/>
      <c r="BK7" s="142"/>
      <c r="BL7" s="163" t="s">
        <v>70</v>
      </c>
    </row>
    <row r="8" spans="1:66" ht="0.95" customHeight="1" x14ac:dyDescent="0.25">
      <c r="A8" s="90"/>
      <c r="B8" s="91"/>
      <c r="C8" s="32"/>
      <c r="D8" s="32"/>
      <c r="E8" s="32"/>
      <c r="F8" s="32"/>
      <c r="G8" s="274"/>
      <c r="H8" s="75"/>
      <c r="I8" s="70"/>
      <c r="J8" s="71"/>
      <c r="K8" s="71"/>
      <c r="L8" s="72"/>
      <c r="M8" s="140"/>
      <c r="N8" s="140"/>
      <c r="O8" s="140"/>
      <c r="P8" s="140"/>
      <c r="Q8" s="73"/>
      <c r="R8" s="73"/>
      <c r="S8" s="74"/>
      <c r="T8" s="74"/>
      <c r="U8" s="74"/>
      <c r="V8" s="74"/>
      <c r="W8" s="74"/>
      <c r="X8" s="74"/>
      <c r="Y8" s="74"/>
      <c r="Z8" s="74"/>
      <c r="AA8" s="74"/>
      <c r="AB8" s="74"/>
      <c r="AC8" s="74"/>
      <c r="AD8" s="74"/>
      <c r="AE8" s="74"/>
      <c r="AF8" s="74"/>
      <c r="AG8" s="74"/>
      <c r="AH8" s="74"/>
      <c r="AI8" s="74"/>
      <c r="AJ8" s="74"/>
      <c r="AK8" s="74"/>
      <c r="AL8" s="74"/>
      <c r="AM8" s="161"/>
      <c r="AN8" s="161"/>
      <c r="AO8" s="161"/>
      <c r="AP8" s="161"/>
      <c r="AQ8" s="161"/>
      <c r="AR8" s="161"/>
      <c r="AS8" s="161"/>
      <c r="AT8" s="161"/>
      <c r="AU8" s="161"/>
      <c r="AZ8" s="187"/>
      <c r="BA8" s="187"/>
      <c r="BB8" s="187"/>
      <c r="BC8" s="187"/>
      <c r="BD8" s="187"/>
      <c r="BE8" s="187"/>
      <c r="BG8" s="136"/>
      <c r="BH8" s="143"/>
      <c r="BI8" s="143"/>
      <c r="BJ8" s="143"/>
      <c r="BK8" s="143"/>
      <c r="BL8" s="166"/>
    </row>
    <row r="9" spans="1:66" s="129" customFormat="1" ht="15.95" customHeight="1" x14ac:dyDescent="0.25">
      <c r="A9" s="125"/>
      <c r="B9" s="84" t="str">
        <f>IF($I9&lt;&gt;"",IF(WEEKDAY($I9,2)&lt;6,IF(VLOOKUP(WEEKDAY($I9,2),InputUge,3)&gt;0,IF($A9="",VLOOKUP(WEEKDAY($I9,2),InputUge,3)+MAX(B$8:B8),IF($A9&lt;VLOOKUP(WEEKDAY($I9,2),InputUge,3),$A9+MAX(B$8:B8),VLOOKUP(WEEKDAY($I9,2),InputUge,3)+MAX(B$8:B8))),""),""),"")</f>
        <v/>
      </c>
      <c r="C9" s="144">
        <f>IF(B9&lt;0,-1,1)</f>
        <v>1</v>
      </c>
      <c r="D9" s="146" t="e">
        <f>FLOOR(B9,C9)</f>
        <v>#VALUE!</v>
      </c>
      <c r="E9" s="146" t="e">
        <f>+B9-D9</f>
        <v>#VALUE!</v>
      </c>
      <c r="F9" s="146" t="e">
        <f>+E9/100*60</f>
        <v>#VALUE!</v>
      </c>
      <c r="G9" s="261"/>
      <c r="H9" s="378">
        <v>1</v>
      </c>
      <c r="I9" s="376">
        <f>+Maj!I39+1</f>
        <v>41426</v>
      </c>
      <c r="J9" s="6"/>
      <c r="K9" s="6"/>
      <c r="L9" s="5"/>
      <c r="M9" s="141"/>
      <c r="N9" s="141"/>
      <c r="O9" s="141"/>
      <c r="P9" s="141"/>
      <c r="Q9" s="643"/>
      <c r="R9" s="644"/>
      <c r="S9" s="644"/>
      <c r="T9" s="645"/>
      <c r="U9" s="442"/>
      <c r="V9" s="241">
        <f t="shared" ref="V9:V38" si="0">FLOOR(U9,1)</f>
        <v>0</v>
      </c>
      <c r="W9" s="241">
        <f>+U9-V9</f>
        <v>0</v>
      </c>
      <c r="X9" s="241">
        <f t="shared" ref="X9:X38" si="1">+W9/60*100</f>
        <v>0</v>
      </c>
      <c r="Y9" s="443">
        <f>+X9+V9</f>
        <v>0</v>
      </c>
      <c r="Z9" s="455"/>
      <c r="AA9" s="455"/>
      <c r="AB9" s="455"/>
      <c r="AC9" s="455"/>
      <c r="AD9" s="442"/>
      <c r="AE9" s="241">
        <f t="shared" ref="AE9:AE38" si="2">FLOOR(AD9,1)</f>
        <v>0</v>
      </c>
      <c r="AF9" s="241">
        <f>+AD9-AE9</f>
        <v>0</v>
      </c>
      <c r="AG9" s="241">
        <f t="shared" ref="AG9:AG38" si="3">+AF9/60*100</f>
        <v>0</v>
      </c>
      <c r="AH9" s="443">
        <f>+AG9+AE9</f>
        <v>0</v>
      </c>
      <c r="AI9" s="444"/>
      <c r="AJ9" s="444"/>
      <c r="AK9" s="444"/>
      <c r="AL9" s="456"/>
      <c r="AM9" s="476"/>
      <c r="AN9" s="241">
        <f t="shared" ref="AN9:AN38" si="4">FLOOR(AM9,1)</f>
        <v>0</v>
      </c>
      <c r="AO9" s="241">
        <f t="shared" ref="AO9:AO38" si="5">+AM9-AN9</f>
        <v>0</v>
      </c>
      <c r="AP9" s="241">
        <f t="shared" ref="AP9:AP38" si="6">+AO9/60*100</f>
        <v>0</v>
      </c>
      <c r="AQ9" s="443">
        <f>+AP9+AN9</f>
        <v>0</v>
      </c>
      <c r="AR9" s="444"/>
      <c r="AS9" s="444"/>
      <c r="AT9" s="444"/>
      <c r="AU9" s="456"/>
      <c r="AZ9" s="188"/>
      <c r="BA9" s="188"/>
      <c r="BB9" s="188"/>
      <c r="BC9" s="188"/>
      <c r="BD9" s="188"/>
      <c r="BE9" s="188"/>
      <c r="BF9"/>
      <c r="BG9" s="145" t="e">
        <f>IF($K9&gt;=0,+SUM(L$9:$L9)-$B9+Jun!$AZ$40+SUM(AQ$9:$AQ9)," ")</f>
        <v>#VALUE!</v>
      </c>
      <c r="BH9" s="144" t="e">
        <f>IF(BG9&lt;0,-1,1)</f>
        <v>#VALUE!</v>
      </c>
      <c r="BI9" s="146" t="e">
        <f t="shared" ref="BI9:BI14" si="7">FLOOR(BG9,BH9)</f>
        <v>#VALUE!</v>
      </c>
      <c r="BJ9" s="146" t="e">
        <f t="shared" ref="BJ9:BJ14" si="8">+BG9-BI9</f>
        <v>#VALUE!</v>
      </c>
      <c r="BK9" s="146" t="e">
        <f>+BJ9/100*60</f>
        <v>#VALUE!</v>
      </c>
      <c r="BL9" s="164"/>
      <c r="BM9" s="157">
        <f t="shared" ref="BM9:BM15" si="9">+P9</f>
        <v>0</v>
      </c>
      <c r="BN9">
        <f>+IF(BM9="",1,2)</f>
        <v>2</v>
      </c>
    </row>
    <row r="10" spans="1:66" ht="15.95" customHeight="1" x14ac:dyDescent="0.25">
      <c r="A10" s="125"/>
      <c r="B10" s="84" t="str">
        <f>IF($I10&lt;&gt;"",IF(WEEKDAY($I10,2)&lt;6,IF(VLOOKUP(WEEKDAY($I10,2),InputUge,3)&gt;0,IF($A10="",VLOOKUP(WEEKDAY($I10,2),InputUge,3)+MAX(B$8:B9),IF($A10&lt;VLOOKUP(WEEKDAY($I10,2),InputUge,3),$A10+MAX(B$8:B9),VLOOKUP(WEEKDAY($I10,2),InputUge,3)+MAX(B$8:B9))),""),""),"")</f>
        <v/>
      </c>
      <c r="C10" s="144">
        <f>IF(B10&lt;0,-1,1)</f>
        <v>1</v>
      </c>
      <c r="D10" s="146" t="e">
        <f>FLOOR(B10,C10)</f>
        <v>#VALUE!</v>
      </c>
      <c r="E10" s="146" t="e">
        <f>+B10-D10</f>
        <v>#VALUE!</v>
      </c>
      <c r="F10" s="146" t="e">
        <f>+E10/100*60</f>
        <v>#VALUE!</v>
      </c>
      <c r="G10" s="261"/>
      <c r="H10" s="4">
        <v>2</v>
      </c>
      <c r="I10" s="16">
        <f t="shared" ref="I10:I38" si="10">+I9+1</f>
        <v>41427</v>
      </c>
      <c r="J10" s="6"/>
      <c r="K10" s="6"/>
      <c r="L10" s="5"/>
      <c r="M10" s="141">
        <f t="shared" ref="M10:M15" si="11">FLOOR(L10,1)</f>
        <v>0</v>
      </c>
      <c r="N10" s="141">
        <f t="shared" ref="N10:N15" si="12">+L10-M10</f>
        <v>0</v>
      </c>
      <c r="O10" s="141">
        <f t="shared" ref="O10:O15" si="13">+N10/100*60</f>
        <v>0</v>
      </c>
      <c r="P10" s="141" t="str">
        <f t="shared" ref="P10:P15" si="14">IF(J10="","",O10+M10)</f>
        <v/>
      </c>
      <c r="Q10" s="572"/>
      <c r="R10" s="573"/>
      <c r="S10" s="573"/>
      <c r="T10" s="574"/>
      <c r="U10" s="442"/>
      <c r="V10" s="241">
        <f t="shared" si="0"/>
        <v>0</v>
      </c>
      <c r="W10" s="241">
        <f>+U10-V10</f>
        <v>0</v>
      </c>
      <c r="X10" s="241">
        <f t="shared" si="1"/>
        <v>0</v>
      </c>
      <c r="Y10" s="443">
        <f>+X10+V10</f>
        <v>0</v>
      </c>
      <c r="Z10" s="455"/>
      <c r="AA10" s="455"/>
      <c r="AB10" s="455"/>
      <c r="AC10" s="455"/>
      <c r="AD10" s="442"/>
      <c r="AE10" s="241">
        <f t="shared" si="2"/>
        <v>0</v>
      </c>
      <c r="AF10" s="241">
        <f>+AD10-AE10</f>
        <v>0</v>
      </c>
      <c r="AG10" s="241">
        <f t="shared" si="3"/>
        <v>0</v>
      </c>
      <c r="AH10" s="443">
        <f>+AG10+AE10</f>
        <v>0</v>
      </c>
      <c r="AI10" s="444"/>
      <c r="AJ10" s="444"/>
      <c r="AK10" s="444"/>
      <c r="AL10" s="456"/>
      <c r="AM10" s="476"/>
      <c r="AN10" s="241">
        <f t="shared" si="4"/>
        <v>0</v>
      </c>
      <c r="AO10" s="241">
        <f t="shared" si="5"/>
        <v>0</v>
      </c>
      <c r="AP10" s="241">
        <f t="shared" si="6"/>
        <v>0</v>
      </c>
      <c r="AQ10" s="443">
        <f t="shared" ref="AQ10:AQ38" si="15">+AP10+AN10</f>
        <v>0</v>
      </c>
      <c r="AR10" s="444"/>
      <c r="AS10" s="444"/>
      <c r="AT10" s="444"/>
      <c r="AU10" s="456"/>
      <c r="AZ10" s="189"/>
      <c r="BA10" s="189"/>
      <c r="BB10" s="189"/>
      <c r="BC10" s="189"/>
      <c r="BD10" s="189"/>
      <c r="BE10" s="189"/>
      <c r="BG10" s="145" t="e">
        <f>IF($K10&gt;=0,+SUM(L$9:$L10)-$B10+Jun!$AZ$40+SUM(AQ$9:$AQ10)," ")</f>
        <v>#VALUE!</v>
      </c>
      <c r="BH10" s="144" t="e">
        <f>IF(BG10&lt;0,-1,1)</f>
        <v>#VALUE!</v>
      </c>
      <c r="BI10" s="146" t="e">
        <f t="shared" si="7"/>
        <v>#VALUE!</v>
      </c>
      <c r="BJ10" s="146" t="e">
        <f t="shared" si="8"/>
        <v>#VALUE!</v>
      </c>
      <c r="BK10" s="146" t="e">
        <f>+BJ10/100*60</f>
        <v>#VALUE!</v>
      </c>
      <c r="BL10" s="164" t="str">
        <f>IF(BN10=2,+BK10+BI10,"")</f>
        <v/>
      </c>
      <c r="BM10" s="157" t="str">
        <f t="shared" si="9"/>
        <v/>
      </c>
      <c r="BN10">
        <f>+IF(BM10="",1,2)</f>
        <v>1</v>
      </c>
    </row>
    <row r="11" spans="1:66" ht="15.95" customHeight="1" x14ac:dyDescent="0.25">
      <c r="A11" s="125"/>
      <c r="B11" s="84">
        <f>IF($I11&lt;&gt;"",IF(WEEKDAY($I11,2)&lt;6,IF(VLOOKUP(WEEKDAY($I11,2),InputUge,3)&gt;0,IF($A11="",VLOOKUP(WEEKDAY($I11,2),InputUge,3)+MAX(B$8:B10),IF($A11&lt;VLOOKUP(WEEKDAY($I11,2),InputUge,3),$A11+MAX(B$8:B10),VLOOKUP(WEEKDAY($I11,2),InputUge,3)+MAX(B$8:B10))),""),""),"")</f>
        <v>7.0633333333333335</v>
      </c>
      <c r="C11" s="144">
        <f>IF(B11&lt;0,-1,1)</f>
        <v>1</v>
      </c>
      <c r="D11" s="146">
        <f>FLOOR(B11,C11)</f>
        <v>7</v>
      </c>
      <c r="E11" s="146">
        <f>+B11-D11</f>
        <v>6.3333333333333464E-2</v>
      </c>
      <c r="F11" s="146">
        <f>+E11/100*60</f>
        <v>3.8000000000000075E-2</v>
      </c>
      <c r="G11" s="261">
        <f t="shared" ref="G11:G36" si="16">+F11+D11</f>
        <v>7.0380000000000003</v>
      </c>
      <c r="H11" s="4">
        <v>3</v>
      </c>
      <c r="I11" s="16">
        <f t="shared" si="10"/>
        <v>41428</v>
      </c>
      <c r="J11" s="6">
        <v>0.34791666666666665</v>
      </c>
      <c r="K11" s="6">
        <v>0.64236111111111105</v>
      </c>
      <c r="L11" s="5">
        <f>IF(K11&gt;0,ROUND(((K11-J11)*24)-SUM(Q11:AV11)+AX11,2)+IF(Fredagsfrokost="J",IF(WEEKDAY($I11,2)=5,IF(K11&gt;=0.5,IF(K11&lt;=13/24,0.5,0),0),0),0),IF(AX11&gt;0,AX11,""))</f>
        <v>7.07</v>
      </c>
      <c r="M11" s="141">
        <f t="shared" si="11"/>
        <v>7</v>
      </c>
      <c r="N11" s="141">
        <f t="shared" si="12"/>
        <v>7.0000000000000284E-2</v>
      </c>
      <c r="O11" s="141">
        <f t="shared" si="13"/>
        <v>4.2000000000000169E-2</v>
      </c>
      <c r="P11" s="141">
        <f t="shared" si="14"/>
        <v>7.0419999999999998</v>
      </c>
      <c r="Q11" s="572"/>
      <c r="R11" s="573"/>
      <c r="S11" s="573"/>
      <c r="T11" s="574"/>
      <c r="U11" s="442"/>
      <c r="V11" s="241">
        <f t="shared" si="0"/>
        <v>0</v>
      </c>
      <c r="W11" s="241">
        <f>+U11-V11</f>
        <v>0</v>
      </c>
      <c r="X11" s="241">
        <f t="shared" si="1"/>
        <v>0</v>
      </c>
      <c r="Y11" s="443">
        <f>+X11+V11</f>
        <v>0</v>
      </c>
      <c r="Z11" s="442"/>
      <c r="AA11" s="442"/>
      <c r="AB11" s="442"/>
      <c r="AC11" s="442"/>
      <c r="AD11" s="442"/>
      <c r="AE11" s="241">
        <f t="shared" si="2"/>
        <v>0</v>
      </c>
      <c r="AF11" s="241">
        <f>+AD11-AE11</f>
        <v>0</v>
      </c>
      <c r="AG11" s="241">
        <f t="shared" si="3"/>
        <v>0</v>
      </c>
      <c r="AH11" s="443">
        <f>+AG11+AE11</f>
        <v>0</v>
      </c>
      <c r="AI11" s="444"/>
      <c r="AJ11" s="444"/>
      <c r="AK11" s="444"/>
      <c r="AL11" s="445"/>
      <c r="AM11" s="476"/>
      <c r="AN11" s="241">
        <f t="shared" si="4"/>
        <v>0</v>
      </c>
      <c r="AO11" s="241">
        <f t="shared" si="5"/>
        <v>0</v>
      </c>
      <c r="AP11" s="241">
        <f t="shared" si="6"/>
        <v>0</v>
      </c>
      <c r="AQ11" s="443">
        <f t="shared" si="15"/>
        <v>0</v>
      </c>
      <c r="AR11" s="444"/>
      <c r="AS11" s="444"/>
      <c r="AT11" s="444"/>
      <c r="AU11" s="445"/>
      <c r="AZ11" s="189"/>
      <c r="BA11" s="189"/>
      <c r="BB11" s="189"/>
      <c r="BC11" s="189"/>
      <c r="BD11" s="189"/>
      <c r="BE11" s="189"/>
      <c r="BG11" s="145">
        <f>IF($K11&gt;=0,+SUM(L$9:$L11)-$B11+Jun!$AZ$40+SUM(AQ$9:$AQ11)," ")</f>
        <v>6.6666666666668206E-3</v>
      </c>
      <c r="BH11" s="144">
        <f>IF(BG11&lt;0,-1,1)</f>
        <v>1</v>
      </c>
      <c r="BI11" s="146">
        <f t="shared" si="7"/>
        <v>0</v>
      </c>
      <c r="BJ11" s="146">
        <f t="shared" si="8"/>
        <v>6.6666666666668206E-3</v>
      </c>
      <c r="BK11" s="146">
        <f>+BJ11/100*60</f>
        <v>4.000000000000092E-3</v>
      </c>
      <c r="BL11" s="164">
        <f>IF(BN11=2,+BK11+BI11,"")</f>
        <v>4.000000000000092E-3</v>
      </c>
      <c r="BM11" s="157">
        <f t="shared" si="9"/>
        <v>7.0419999999999998</v>
      </c>
      <c r="BN11">
        <f>+IF(BM11="",1,2)</f>
        <v>2</v>
      </c>
    </row>
    <row r="12" spans="1:66" ht="15.95" customHeight="1" x14ac:dyDescent="0.25">
      <c r="A12" s="83"/>
      <c r="B12" s="84">
        <f>IF($I12&lt;&gt;"",IF(WEEKDAY($I12,2)&lt;6,IF(VLOOKUP(WEEKDAY($I12,2),InputUge,3)&gt;0,IF($A12="",VLOOKUP(WEEKDAY($I12,2),InputUge,3)+MAX(B$8:B11),IF($A12&lt;VLOOKUP(WEEKDAY($I12,2),InputUge,3),$A12+MAX(B$8:B11),VLOOKUP(WEEKDAY($I12,2),InputUge,3)+MAX(B$8:B11))),""),""),"")</f>
        <v>14.129999999999999</v>
      </c>
      <c r="C12" s="144">
        <f>IF(B12&lt;0,-1,1)</f>
        <v>1</v>
      </c>
      <c r="D12" s="146">
        <f>FLOOR(B12,C12)</f>
        <v>14</v>
      </c>
      <c r="E12" s="146">
        <f>+B12-D12</f>
        <v>0.12999999999999901</v>
      </c>
      <c r="F12" s="146">
        <f>+E12/100*60</f>
        <v>7.7999999999999403E-2</v>
      </c>
      <c r="G12" s="261">
        <f t="shared" si="16"/>
        <v>14.077999999999999</v>
      </c>
      <c r="H12" s="4">
        <v>4</v>
      </c>
      <c r="I12" s="16">
        <f t="shared" si="10"/>
        <v>41429</v>
      </c>
      <c r="J12" s="6">
        <v>0.34814814814814815</v>
      </c>
      <c r="K12" s="6">
        <v>0.64236111111111105</v>
      </c>
      <c r="L12" s="5">
        <f>IF(K12&gt;0,ROUND(((K12-J12)*24)-SUM(Q12:AV12)+AX12,2)+IF(Fredagsfrokost="J",IF(WEEKDAY($I12,2)=5,IF(K12&gt;=0.5,IF(K12&lt;=13/24,0.5,0),0),0),0),IF(AX12&gt;0,AX12,""))</f>
        <v>7.06</v>
      </c>
      <c r="M12" s="141">
        <f t="shared" si="11"/>
        <v>7</v>
      </c>
      <c r="N12" s="141">
        <f t="shared" si="12"/>
        <v>5.9999999999999609E-2</v>
      </c>
      <c r="O12" s="141">
        <f t="shared" si="13"/>
        <v>3.5999999999999761E-2</v>
      </c>
      <c r="P12" s="141">
        <f t="shared" si="14"/>
        <v>7.0359999999999996</v>
      </c>
      <c r="Q12" s="572"/>
      <c r="R12" s="573"/>
      <c r="S12" s="573"/>
      <c r="T12" s="574"/>
      <c r="U12" s="442"/>
      <c r="V12" s="241">
        <f t="shared" si="0"/>
        <v>0</v>
      </c>
      <c r="W12" s="241">
        <f>+U12-V12</f>
        <v>0</v>
      </c>
      <c r="X12" s="241">
        <f t="shared" si="1"/>
        <v>0</v>
      </c>
      <c r="Y12" s="443">
        <f>+X12+V12</f>
        <v>0</v>
      </c>
      <c r="Z12" s="442"/>
      <c r="AA12" s="442"/>
      <c r="AB12" s="442"/>
      <c r="AC12" s="442"/>
      <c r="AD12" s="442"/>
      <c r="AE12" s="241">
        <f t="shared" si="2"/>
        <v>0</v>
      </c>
      <c r="AF12" s="241">
        <f>+AD12-AE12</f>
        <v>0</v>
      </c>
      <c r="AG12" s="241">
        <f t="shared" si="3"/>
        <v>0</v>
      </c>
      <c r="AH12" s="443">
        <f>+AG12+AE12</f>
        <v>0</v>
      </c>
      <c r="AI12" s="444"/>
      <c r="AJ12" s="444"/>
      <c r="AK12" s="444"/>
      <c r="AL12" s="445"/>
      <c r="AM12" s="476"/>
      <c r="AN12" s="241">
        <f t="shared" si="4"/>
        <v>0</v>
      </c>
      <c r="AO12" s="241">
        <f t="shared" si="5"/>
        <v>0</v>
      </c>
      <c r="AP12" s="241">
        <f t="shared" si="6"/>
        <v>0</v>
      </c>
      <c r="AQ12" s="443">
        <f t="shared" si="15"/>
        <v>0</v>
      </c>
      <c r="AR12" s="444"/>
      <c r="AS12" s="444"/>
      <c r="AT12" s="444"/>
      <c r="AU12" s="445"/>
      <c r="AZ12" s="189"/>
      <c r="BA12" s="189"/>
      <c r="BB12" s="189"/>
      <c r="BC12" s="189"/>
      <c r="BD12" s="189"/>
      <c r="BE12" s="189"/>
      <c r="BG12" s="145">
        <f>IF($K12&gt;=0,+SUM(L$9:$L12)-$B12+Jun!$AZ$40+SUM(AQ$9:$AQ12)," ")</f>
        <v>0</v>
      </c>
      <c r="BH12" s="144">
        <f>IF(BG12&lt;0,-1,1)</f>
        <v>1</v>
      </c>
      <c r="BI12" s="146">
        <f t="shared" si="7"/>
        <v>0</v>
      </c>
      <c r="BJ12" s="146">
        <f t="shared" si="8"/>
        <v>0</v>
      </c>
      <c r="BK12" s="146">
        <f>+BJ12/100*60</f>
        <v>0</v>
      </c>
      <c r="BL12" s="164">
        <f>IF(BN12=2,+BK12+BI12,"")</f>
        <v>0</v>
      </c>
      <c r="BM12" s="157">
        <f t="shared" si="9"/>
        <v>7.0359999999999996</v>
      </c>
      <c r="BN12">
        <f>+IF(BM12="",1,2)</f>
        <v>2</v>
      </c>
    </row>
    <row r="13" spans="1:66" s="129" customFormat="1" ht="15.95" customHeight="1" x14ac:dyDescent="0.25">
      <c r="A13" s="125" t="s">
        <v>64</v>
      </c>
      <c r="B13" s="84"/>
      <c r="C13" s="144">
        <f>IF(B13&lt;0,-1,1)</f>
        <v>1</v>
      </c>
      <c r="D13" s="146">
        <f>FLOOR(B13,C13)</f>
        <v>0</v>
      </c>
      <c r="E13" s="146">
        <f>+B13-D13</f>
        <v>0</v>
      </c>
      <c r="F13" s="146">
        <f>+E13/100*60</f>
        <v>0</v>
      </c>
      <c r="G13" s="261"/>
      <c r="H13" s="126">
        <v>5</v>
      </c>
      <c r="I13" s="127">
        <f t="shared" si="10"/>
        <v>41430</v>
      </c>
      <c r="J13" s="6"/>
      <c r="K13" s="6"/>
      <c r="L13" s="5"/>
      <c r="M13" s="141">
        <f t="shared" si="11"/>
        <v>0</v>
      </c>
      <c r="N13" s="141">
        <f t="shared" si="12"/>
        <v>0</v>
      </c>
      <c r="O13" s="141">
        <f t="shared" si="13"/>
        <v>0</v>
      </c>
      <c r="P13" s="141" t="str">
        <f t="shared" si="14"/>
        <v/>
      </c>
      <c r="Q13" s="643"/>
      <c r="R13" s="644"/>
      <c r="S13" s="644"/>
      <c r="T13" s="645"/>
      <c r="U13" s="442"/>
      <c r="V13" s="241">
        <f t="shared" si="0"/>
        <v>0</v>
      </c>
      <c r="W13" s="241">
        <f t="shared" ref="W13:W28" si="17">+U13-V13</f>
        <v>0</v>
      </c>
      <c r="X13" s="241">
        <f t="shared" si="1"/>
        <v>0</v>
      </c>
      <c r="Y13" s="443">
        <f t="shared" ref="Y13:Y28" si="18">+X13+V13</f>
        <v>0</v>
      </c>
      <c r="Z13" s="442"/>
      <c r="AA13" s="442"/>
      <c r="AB13" s="442"/>
      <c r="AC13" s="442"/>
      <c r="AD13" s="442"/>
      <c r="AE13" s="241">
        <f t="shared" si="2"/>
        <v>0</v>
      </c>
      <c r="AF13" s="241">
        <f t="shared" ref="AF13:AF29" si="19">+AD13-AE13</f>
        <v>0</v>
      </c>
      <c r="AG13" s="241">
        <f t="shared" si="3"/>
        <v>0</v>
      </c>
      <c r="AH13" s="443">
        <f t="shared" ref="AH13:AH29" si="20">+AG13+AE13</f>
        <v>0</v>
      </c>
      <c r="AI13" s="444"/>
      <c r="AJ13" s="444"/>
      <c r="AK13" s="444"/>
      <c r="AL13" s="241"/>
      <c r="AM13" s="476"/>
      <c r="AN13" s="241">
        <f t="shared" si="4"/>
        <v>0</v>
      </c>
      <c r="AO13" s="241">
        <f t="shared" si="5"/>
        <v>0</v>
      </c>
      <c r="AP13" s="241">
        <f t="shared" si="6"/>
        <v>0</v>
      </c>
      <c r="AQ13" s="443">
        <f t="shared" si="15"/>
        <v>0</v>
      </c>
      <c r="AR13" s="444"/>
      <c r="AS13" s="444"/>
      <c r="AT13" s="444"/>
      <c r="AU13" s="241"/>
      <c r="AZ13" s="188"/>
      <c r="BA13" s="188"/>
      <c r="BB13" s="188"/>
      <c r="BC13" s="188"/>
      <c r="BD13" s="188"/>
      <c r="BE13" s="188"/>
      <c r="BG13" s="145">
        <f>IF($K13&gt;=0,+SUM(L$9:$L13)-$B13+Jun!$AZ$40+SUM(AQ$9:$AQ13)," ")</f>
        <v>14.129999999999999</v>
      </c>
      <c r="BH13" s="144">
        <f t="shared" ref="BH13:BH22" si="21">IF(BG13&lt;0,-1,1)</f>
        <v>1</v>
      </c>
      <c r="BI13" s="146">
        <f t="shared" si="7"/>
        <v>14</v>
      </c>
      <c r="BJ13" s="146">
        <f t="shared" si="8"/>
        <v>0.12999999999999901</v>
      </c>
      <c r="BK13" s="146">
        <f t="shared" ref="BK13:BK22" si="22">+BJ13/100*60</f>
        <v>7.7999999999999403E-2</v>
      </c>
      <c r="BL13" s="164" t="str">
        <f>IF(BN13=2,+BK13+BI13,"")</f>
        <v/>
      </c>
      <c r="BM13" s="157" t="str">
        <f>+P13</f>
        <v/>
      </c>
      <c r="BN13">
        <f>+IF(BM13="",1,2)</f>
        <v>1</v>
      </c>
    </row>
    <row r="14" spans="1:66" ht="15.95" customHeight="1" x14ac:dyDescent="0.25">
      <c r="A14" s="83"/>
      <c r="B14" s="84">
        <f>IF($I14&lt;&gt;"",IF(WEEKDAY($I14,2)&lt;6,IF(VLOOKUP(WEEKDAY($I14,2),InputUge,3)&gt;0,IF($A14="",VLOOKUP(WEEKDAY($I14,2),InputUge,3)+MAX(B$8:B13),IF($A14&lt;VLOOKUP(WEEKDAY($I14,2),InputUge,3),$A14+MAX(B$8:B13),VLOOKUP(WEEKDAY($I14,2),InputUge,3)+MAX(B$8:B13))),""),""),"")</f>
        <v>23.54</v>
      </c>
      <c r="C14" s="144">
        <f t="shared" ref="C14:C19" si="23">IF(B14&lt;0,-1,1)</f>
        <v>1</v>
      </c>
      <c r="D14" s="146">
        <f t="shared" ref="D14:D20" si="24">FLOOR(B14,C14)</f>
        <v>23</v>
      </c>
      <c r="E14" s="146">
        <f t="shared" ref="E14:E20" si="25">+B14-D14</f>
        <v>0.53999999999999915</v>
      </c>
      <c r="F14" s="146">
        <f t="shared" ref="F14:F19" si="26">+E14/100*60</f>
        <v>0.32399999999999951</v>
      </c>
      <c r="G14" s="261">
        <f t="shared" si="16"/>
        <v>23.323999999999998</v>
      </c>
      <c r="H14" s="4">
        <v>6</v>
      </c>
      <c r="I14" s="16">
        <f t="shared" si="10"/>
        <v>41431</v>
      </c>
      <c r="J14" s="6">
        <v>0.34791666666666665</v>
      </c>
      <c r="K14" s="6">
        <v>0.73981481481481481</v>
      </c>
      <c r="L14" s="5">
        <f>IF(K14&gt;0,ROUND(((K14-J14)*24)-SUM(BR14:BS14)+BT14,2)+IF(Fredagsfrokost="n",IF(WEEKDAY($I14,2)=5,IF(K14&gt;=0.5,IF(K14&lt;=13/24,0,0),0),0),0),IF(AW14&gt;0,AW14,""))</f>
        <v>9.41</v>
      </c>
      <c r="M14" s="141">
        <f t="shared" si="11"/>
        <v>9</v>
      </c>
      <c r="N14" s="141">
        <f t="shared" si="12"/>
        <v>0.41000000000000014</v>
      </c>
      <c r="O14" s="141">
        <f t="shared" si="13"/>
        <v>0.24600000000000008</v>
      </c>
      <c r="P14" s="162">
        <f t="shared" si="14"/>
        <v>9.2460000000000004</v>
      </c>
      <c r="Q14" s="572"/>
      <c r="R14" s="573"/>
      <c r="S14" s="573"/>
      <c r="T14" s="574"/>
      <c r="U14" s="442"/>
      <c r="V14" s="241">
        <f t="shared" si="0"/>
        <v>0</v>
      </c>
      <c r="W14" s="241">
        <f t="shared" si="17"/>
        <v>0</v>
      </c>
      <c r="X14" s="241">
        <f t="shared" si="1"/>
        <v>0</v>
      </c>
      <c r="Y14" s="443">
        <f t="shared" si="18"/>
        <v>0</v>
      </c>
      <c r="Z14" s="442"/>
      <c r="AA14" s="442"/>
      <c r="AB14" s="442"/>
      <c r="AC14" s="442"/>
      <c r="AD14" s="442"/>
      <c r="AE14" s="241">
        <f t="shared" si="2"/>
        <v>0</v>
      </c>
      <c r="AF14" s="241">
        <f t="shared" si="19"/>
        <v>0</v>
      </c>
      <c r="AG14" s="241">
        <f t="shared" si="3"/>
        <v>0</v>
      </c>
      <c r="AH14" s="443">
        <f t="shared" si="20"/>
        <v>0</v>
      </c>
      <c r="AI14" s="444"/>
      <c r="AJ14" s="444"/>
      <c r="AK14" s="444"/>
      <c r="AL14" s="445"/>
      <c r="AM14" s="476"/>
      <c r="AN14" s="241">
        <f t="shared" si="4"/>
        <v>0</v>
      </c>
      <c r="AO14" s="241">
        <f t="shared" si="5"/>
        <v>0</v>
      </c>
      <c r="AP14" s="241">
        <f t="shared" si="6"/>
        <v>0</v>
      </c>
      <c r="AQ14" s="443">
        <f t="shared" si="15"/>
        <v>0</v>
      </c>
      <c r="AR14" s="444"/>
      <c r="AS14" s="444"/>
      <c r="AT14" s="444"/>
      <c r="AU14" s="445"/>
      <c r="AZ14" s="189"/>
      <c r="BA14" s="189"/>
      <c r="BB14" s="189"/>
      <c r="BC14" s="189"/>
      <c r="BD14" s="189"/>
      <c r="BE14" s="189"/>
      <c r="BG14" s="145">
        <f>IF($K14&gt;=0,+SUM(L$9:$L14)-$B14+Jun!$AZ$40+SUM(AQ$9:$AQ14)," ")</f>
        <v>0</v>
      </c>
      <c r="BH14" s="144">
        <f t="shared" si="21"/>
        <v>1</v>
      </c>
      <c r="BI14" s="146">
        <f t="shared" si="7"/>
        <v>0</v>
      </c>
      <c r="BJ14" s="146">
        <f t="shared" si="8"/>
        <v>0</v>
      </c>
      <c r="BK14" s="146">
        <f t="shared" si="22"/>
        <v>0</v>
      </c>
      <c r="BL14" s="164">
        <f t="shared" ref="BL14:BL20" si="27">IF(BN14=2,+BK14+BI14,"")</f>
        <v>0</v>
      </c>
      <c r="BM14" s="157">
        <f t="shared" si="9"/>
        <v>9.2460000000000004</v>
      </c>
      <c r="BN14">
        <f t="shared" ref="BN14:BN38" si="28">+IF(BM14="",1,2)</f>
        <v>2</v>
      </c>
    </row>
    <row r="15" spans="1:66" ht="15.95" customHeight="1" x14ac:dyDescent="0.25">
      <c r="A15" s="83"/>
      <c r="B15" s="84">
        <f>IF($I15&lt;&gt;"",IF(WEEKDAY($I15,2)&lt;6,IF(VLOOKUP(WEEKDAY($I15,2),InputUge,3)&gt;0,IF($A15="",VLOOKUP(WEEKDAY($I15,2),InputUge,3)+MAX(B$8:B14),IF($A15&lt;VLOOKUP(WEEKDAY($I15,2),InputUge,3),$A15+MAX(B$8:B14),VLOOKUP(WEEKDAY($I15,2),InputUge,3)+MAX(B$8:B14))),""),""),"")</f>
        <v>29.939999999999998</v>
      </c>
      <c r="C15" s="144">
        <f t="shared" si="23"/>
        <v>1</v>
      </c>
      <c r="D15" s="146">
        <f t="shared" si="24"/>
        <v>29</v>
      </c>
      <c r="E15" s="146">
        <f t="shared" si="25"/>
        <v>0.93999999999999773</v>
      </c>
      <c r="F15" s="146">
        <f t="shared" si="26"/>
        <v>0.56399999999999872</v>
      </c>
      <c r="G15" s="261">
        <f t="shared" si="16"/>
        <v>29.564</v>
      </c>
      <c r="H15" s="4">
        <v>7</v>
      </c>
      <c r="I15" s="16">
        <f t="shared" si="10"/>
        <v>41432</v>
      </c>
      <c r="J15" s="6">
        <v>0.34791666666666665</v>
      </c>
      <c r="K15" s="6">
        <v>0.61458333333333337</v>
      </c>
      <c r="L15" s="5">
        <f>IF(K15&gt;0,ROUND(((K15-J15)*24)-SUM(BR15:BS15)+BT15,2)+IF(Fredagsfrokost="n",IF(WEEKDAY($I15,2)=5,IF(K15&gt;=0.5,IF(K15&lt;=13/24,0,0),0),0),0),IF(AW15&gt;0,AW15,""))</f>
        <v>6.4</v>
      </c>
      <c r="M15" s="141">
        <f t="shared" si="11"/>
        <v>6</v>
      </c>
      <c r="N15" s="141">
        <f t="shared" si="12"/>
        <v>0.40000000000000036</v>
      </c>
      <c r="O15" s="141">
        <f t="shared" si="13"/>
        <v>0.24000000000000021</v>
      </c>
      <c r="P15" s="162">
        <f t="shared" si="14"/>
        <v>6.24</v>
      </c>
      <c r="Q15" s="572"/>
      <c r="R15" s="573"/>
      <c r="S15" s="573"/>
      <c r="T15" s="574"/>
      <c r="U15" s="442"/>
      <c r="V15" s="241">
        <f t="shared" si="0"/>
        <v>0</v>
      </c>
      <c r="W15" s="241">
        <f t="shared" si="17"/>
        <v>0</v>
      </c>
      <c r="X15" s="241">
        <f t="shared" si="1"/>
        <v>0</v>
      </c>
      <c r="Y15" s="443">
        <f t="shared" si="18"/>
        <v>0</v>
      </c>
      <c r="Z15" s="442"/>
      <c r="AA15" s="442"/>
      <c r="AB15" s="442"/>
      <c r="AC15" s="442"/>
      <c r="AD15" s="442"/>
      <c r="AE15" s="241">
        <f t="shared" si="2"/>
        <v>0</v>
      </c>
      <c r="AF15" s="241">
        <f t="shared" si="19"/>
        <v>0</v>
      </c>
      <c r="AG15" s="241">
        <f t="shared" si="3"/>
        <v>0</v>
      </c>
      <c r="AH15" s="443">
        <f t="shared" si="20"/>
        <v>0</v>
      </c>
      <c r="AI15" s="444"/>
      <c r="AJ15" s="444"/>
      <c r="AK15" s="444"/>
      <c r="AL15" s="445"/>
      <c r="AM15" s="476"/>
      <c r="AN15" s="241">
        <f t="shared" si="4"/>
        <v>0</v>
      </c>
      <c r="AO15" s="241">
        <f t="shared" si="5"/>
        <v>0</v>
      </c>
      <c r="AP15" s="241">
        <f t="shared" si="6"/>
        <v>0</v>
      </c>
      <c r="AQ15" s="443">
        <f t="shared" si="15"/>
        <v>0</v>
      </c>
      <c r="AR15" s="444"/>
      <c r="AS15" s="444"/>
      <c r="AT15" s="444"/>
      <c r="AU15" s="445"/>
      <c r="AZ15" s="189"/>
      <c r="BA15" s="189"/>
      <c r="BB15" s="189"/>
      <c r="BC15" s="189"/>
      <c r="BD15" s="189"/>
      <c r="BE15" s="189"/>
      <c r="BG15" s="145">
        <f>IF($K15&gt;=0,+SUM(L$9:$L15)-$B15+Jun!$AZ$40+SUM(AQ$9:$AQ15)," ")</f>
        <v>0</v>
      </c>
      <c r="BH15" s="144">
        <f t="shared" si="21"/>
        <v>1</v>
      </c>
      <c r="BI15" s="146">
        <f t="shared" ref="BI15:BI22" si="29">FLOOR(BG15,BH15)</f>
        <v>0</v>
      </c>
      <c r="BJ15" s="146">
        <f t="shared" ref="BJ15:BJ22" si="30">+BG15-BI15</f>
        <v>0</v>
      </c>
      <c r="BK15" s="146">
        <f t="shared" si="22"/>
        <v>0</v>
      </c>
      <c r="BL15" s="164">
        <f t="shared" si="27"/>
        <v>0</v>
      </c>
      <c r="BM15" s="157">
        <f t="shared" si="9"/>
        <v>6.24</v>
      </c>
      <c r="BN15">
        <f t="shared" si="28"/>
        <v>2</v>
      </c>
    </row>
    <row r="16" spans="1:66" ht="15.95" customHeight="1" x14ac:dyDescent="0.25">
      <c r="A16" s="83"/>
      <c r="B16" s="84" t="str">
        <f>IF($I16&lt;&gt;"",IF(WEEKDAY($I16,2)&lt;6,IF(VLOOKUP(WEEKDAY($I16,2),InputUge,3)&gt;0,IF($A16="",VLOOKUP(WEEKDAY($I16,2),InputUge,3)+MAX(B$8:B15),IF($A16&lt;VLOOKUP(WEEKDAY($I16,2),InputUge,3),$A16+MAX(B$8:B15),VLOOKUP(WEEKDAY($I16,2),InputUge,3)+MAX(B$8:B15))),""),""),"")</f>
        <v/>
      </c>
      <c r="C16" s="144">
        <f t="shared" si="23"/>
        <v>1</v>
      </c>
      <c r="D16" s="146" t="e">
        <f t="shared" si="24"/>
        <v>#VALUE!</v>
      </c>
      <c r="E16" s="146" t="e">
        <f t="shared" si="25"/>
        <v>#VALUE!</v>
      </c>
      <c r="F16" s="146" t="e">
        <f t="shared" si="26"/>
        <v>#VALUE!</v>
      </c>
      <c r="G16" s="261"/>
      <c r="H16" s="4">
        <v>8</v>
      </c>
      <c r="I16" s="16">
        <f t="shared" si="10"/>
        <v>41433</v>
      </c>
      <c r="J16" s="6"/>
      <c r="K16" s="6"/>
      <c r="L16" s="5"/>
      <c r="M16" s="141"/>
      <c r="N16" s="141"/>
      <c r="O16" s="141"/>
      <c r="P16" s="162"/>
      <c r="Q16" s="572"/>
      <c r="R16" s="573"/>
      <c r="S16" s="573"/>
      <c r="T16" s="574"/>
      <c r="U16" s="442"/>
      <c r="V16" s="241">
        <f t="shared" si="0"/>
        <v>0</v>
      </c>
      <c r="W16" s="241">
        <f t="shared" si="17"/>
        <v>0</v>
      </c>
      <c r="X16" s="241">
        <f t="shared" si="1"/>
        <v>0</v>
      </c>
      <c r="Y16" s="443">
        <f t="shared" si="18"/>
        <v>0</v>
      </c>
      <c r="Z16" s="442"/>
      <c r="AA16" s="442"/>
      <c r="AB16" s="442"/>
      <c r="AC16" s="442"/>
      <c r="AD16" s="442"/>
      <c r="AE16" s="241">
        <f t="shared" si="2"/>
        <v>0</v>
      </c>
      <c r="AF16" s="241">
        <f t="shared" si="19"/>
        <v>0</v>
      </c>
      <c r="AG16" s="241">
        <f t="shared" si="3"/>
        <v>0</v>
      </c>
      <c r="AH16" s="443">
        <f t="shared" si="20"/>
        <v>0</v>
      </c>
      <c r="AI16" s="444"/>
      <c r="AJ16" s="444"/>
      <c r="AK16" s="444"/>
      <c r="AL16" s="445"/>
      <c r="AM16" s="476"/>
      <c r="AN16" s="241">
        <f t="shared" si="4"/>
        <v>0</v>
      </c>
      <c r="AO16" s="241">
        <f t="shared" si="5"/>
        <v>0</v>
      </c>
      <c r="AP16" s="241">
        <f t="shared" si="6"/>
        <v>0</v>
      </c>
      <c r="AQ16" s="443">
        <f t="shared" si="15"/>
        <v>0</v>
      </c>
      <c r="AR16" s="444"/>
      <c r="AS16" s="444"/>
      <c r="AT16" s="444"/>
      <c r="AU16" s="445"/>
      <c r="AZ16" s="189"/>
      <c r="BA16" s="189"/>
      <c r="BB16" s="189"/>
      <c r="BC16" s="189"/>
      <c r="BD16" s="189"/>
      <c r="BE16" s="189"/>
      <c r="BG16" s="145" t="e">
        <f>IF($K16&gt;=0,+SUM(L$9:$L16)-$B16+Jun!$AZ$40+SUM(AQ$9:$AQ16)," ")</f>
        <v>#VALUE!</v>
      </c>
      <c r="BH16" s="144" t="e">
        <f t="shared" si="21"/>
        <v>#VALUE!</v>
      </c>
      <c r="BI16" s="146" t="e">
        <f t="shared" si="29"/>
        <v>#VALUE!</v>
      </c>
      <c r="BJ16" s="146" t="e">
        <f t="shared" si="30"/>
        <v>#VALUE!</v>
      </c>
      <c r="BK16" s="146" t="e">
        <f t="shared" si="22"/>
        <v>#VALUE!</v>
      </c>
      <c r="BL16" s="164"/>
      <c r="BM16" s="157">
        <f t="shared" ref="BM16:BM36" si="31">+P16</f>
        <v>0</v>
      </c>
      <c r="BN16">
        <f t="shared" si="28"/>
        <v>2</v>
      </c>
    </row>
    <row r="17" spans="1:66" ht="15.95" customHeight="1" x14ac:dyDescent="0.25">
      <c r="A17" s="83"/>
      <c r="B17" s="84" t="str">
        <f>IF($I17&lt;&gt;"",IF(WEEKDAY($I17,2)&lt;6,IF(VLOOKUP(WEEKDAY($I17,2),InputUge,3)&gt;0,IF($A17="",VLOOKUP(WEEKDAY($I17,2),InputUge,3)+MAX(B$8:B16),IF($A17&lt;VLOOKUP(WEEKDAY($I17,2),InputUge,3),$A17+MAX(B$8:B16),VLOOKUP(WEEKDAY($I17,2),InputUge,3)+MAX(B$8:B16))),""),""),"")</f>
        <v/>
      </c>
      <c r="C17" s="144">
        <f t="shared" si="23"/>
        <v>1</v>
      </c>
      <c r="D17" s="146" t="e">
        <f t="shared" si="24"/>
        <v>#VALUE!</v>
      </c>
      <c r="E17" s="146" t="e">
        <f t="shared" si="25"/>
        <v>#VALUE!</v>
      </c>
      <c r="F17" s="146" t="e">
        <f t="shared" si="26"/>
        <v>#VALUE!</v>
      </c>
      <c r="G17" s="261"/>
      <c r="H17" s="4">
        <v>9</v>
      </c>
      <c r="I17" s="16">
        <f t="shared" si="10"/>
        <v>41434</v>
      </c>
      <c r="J17" s="6"/>
      <c r="K17" s="6"/>
      <c r="L17" s="5"/>
      <c r="M17" s="141"/>
      <c r="N17" s="141"/>
      <c r="O17" s="141"/>
      <c r="P17" s="162"/>
      <c r="Q17" s="572"/>
      <c r="R17" s="573"/>
      <c r="S17" s="573"/>
      <c r="T17" s="574"/>
      <c r="U17" s="442"/>
      <c r="V17" s="241">
        <f t="shared" si="0"/>
        <v>0</v>
      </c>
      <c r="W17" s="241">
        <f t="shared" si="17"/>
        <v>0</v>
      </c>
      <c r="X17" s="241">
        <f t="shared" si="1"/>
        <v>0</v>
      </c>
      <c r="Y17" s="443">
        <f t="shared" si="18"/>
        <v>0</v>
      </c>
      <c r="Z17" s="442"/>
      <c r="AA17" s="442"/>
      <c r="AB17" s="442"/>
      <c r="AC17" s="442"/>
      <c r="AD17" s="442"/>
      <c r="AE17" s="241">
        <f t="shared" si="2"/>
        <v>0</v>
      </c>
      <c r="AF17" s="241">
        <f t="shared" si="19"/>
        <v>0</v>
      </c>
      <c r="AG17" s="241">
        <f t="shared" si="3"/>
        <v>0</v>
      </c>
      <c r="AH17" s="443">
        <f t="shared" si="20"/>
        <v>0</v>
      </c>
      <c r="AI17" s="444"/>
      <c r="AJ17" s="444"/>
      <c r="AK17" s="444"/>
      <c r="AL17" s="445"/>
      <c r="AM17" s="476"/>
      <c r="AN17" s="241">
        <f t="shared" si="4"/>
        <v>0</v>
      </c>
      <c r="AO17" s="241">
        <f t="shared" si="5"/>
        <v>0</v>
      </c>
      <c r="AP17" s="241">
        <f t="shared" si="6"/>
        <v>0</v>
      </c>
      <c r="AQ17" s="443">
        <f t="shared" si="15"/>
        <v>0</v>
      </c>
      <c r="AR17" s="444"/>
      <c r="AS17" s="444"/>
      <c r="AT17" s="444"/>
      <c r="AU17" s="445"/>
      <c r="AZ17" s="189"/>
      <c r="BA17" s="189"/>
      <c r="BB17" s="189"/>
      <c r="BC17" s="189"/>
      <c r="BD17" s="189"/>
      <c r="BE17" s="189"/>
      <c r="BG17" s="145" t="e">
        <f>IF($K17&gt;=0,+SUM(L$9:$L17)-$B17+Jun!$AZ$40+SUM(AQ$9:$AQ17)," ")</f>
        <v>#VALUE!</v>
      </c>
      <c r="BH17" s="144" t="e">
        <f t="shared" si="21"/>
        <v>#VALUE!</v>
      </c>
      <c r="BI17" s="146" t="e">
        <f t="shared" si="29"/>
        <v>#VALUE!</v>
      </c>
      <c r="BJ17" s="146" t="e">
        <f t="shared" si="30"/>
        <v>#VALUE!</v>
      </c>
      <c r="BK17" s="146" t="e">
        <f t="shared" si="22"/>
        <v>#VALUE!</v>
      </c>
      <c r="BL17" s="164"/>
      <c r="BM17" s="157">
        <f t="shared" si="31"/>
        <v>0</v>
      </c>
      <c r="BN17">
        <f t="shared" si="28"/>
        <v>2</v>
      </c>
    </row>
    <row r="18" spans="1:66" ht="15.95" customHeight="1" x14ac:dyDescent="0.25">
      <c r="A18" s="83"/>
      <c r="B18" s="84">
        <f>IF($I18&lt;&gt;"",IF(WEEKDAY($I18,2)&lt;6,IF(VLOOKUP(WEEKDAY($I18,2),InputUge,3)&gt;0,IF($A18="",VLOOKUP(WEEKDAY($I18,2),InputUge,3)+MAX(B$8:B17),IF($A18&lt;VLOOKUP(WEEKDAY($I18,2),InputUge,3),$A18+MAX(B$8:B17),VLOOKUP(WEEKDAY($I18,2),InputUge,3)+MAX(B$8:B17))),""),""),"")</f>
        <v>37.00333333333333</v>
      </c>
      <c r="C18" s="144">
        <f t="shared" si="23"/>
        <v>1</v>
      </c>
      <c r="D18" s="146">
        <f t="shared" si="24"/>
        <v>37</v>
      </c>
      <c r="E18" s="146">
        <f t="shared" si="25"/>
        <v>3.3333333333303017E-3</v>
      </c>
      <c r="F18" s="146">
        <f t="shared" si="26"/>
        <v>1.9999999999981812E-3</v>
      </c>
      <c r="G18" s="261">
        <f t="shared" si="16"/>
        <v>37.001999999999995</v>
      </c>
      <c r="H18" s="4">
        <v>10</v>
      </c>
      <c r="I18" s="16">
        <f t="shared" si="10"/>
        <v>41435</v>
      </c>
      <c r="J18" s="6">
        <v>0.34826388888888887</v>
      </c>
      <c r="K18" s="6">
        <v>0.64236111111111105</v>
      </c>
      <c r="L18" s="5">
        <f>IF(K18&gt;0,ROUND(((K18-J18)*24)-SUM(BR18:BS18)+BT18,2)+IF(Fredagsfrokost="n",IF(WEEKDAY($I18,2)=5,IF(K18&gt;=0.5,IF(K18&lt;=13/24,0,0),0),0),0),IF(AW18&gt;0,AW18,""))</f>
        <v>7.06</v>
      </c>
      <c r="M18" s="141">
        <f>FLOOR(L18,1)</f>
        <v>7</v>
      </c>
      <c r="N18" s="141">
        <f>+L18-M18</f>
        <v>5.9999999999999609E-2</v>
      </c>
      <c r="O18" s="141">
        <f>+N18/100*60</f>
        <v>3.5999999999999761E-2</v>
      </c>
      <c r="P18" s="162">
        <f>IF(J18="","",O18+M18)</f>
        <v>7.0359999999999996</v>
      </c>
      <c r="Q18" s="572"/>
      <c r="R18" s="573"/>
      <c r="S18" s="573"/>
      <c r="T18" s="574"/>
      <c r="U18" s="442"/>
      <c r="V18" s="241">
        <f t="shared" si="0"/>
        <v>0</v>
      </c>
      <c r="W18" s="241">
        <f t="shared" si="17"/>
        <v>0</v>
      </c>
      <c r="X18" s="241">
        <f t="shared" si="1"/>
        <v>0</v>
      </c>
      <c r="Y18" s="443">
        <f t="shared" si="18"/>
        <v>0</v>
      </c>
      <c r="Z18" s="442"/>
      <c r="AA18" s="442"/>
      <c r="AB18" s="442"/>
      <c r="AC18" s="442"/>
      <c r="AD18" s="442"/>
      <c r="AE18" s="241">
        <f t="shared" si="2"/>
        <v>0</v>
      </c>
      <c r="AF18" s="241">
        <f t="shared" si="19"/>
        <v>0</v>
      </c>
      <c r="AG18" s="241">
        <f t="shared" si="3"/>
        <v>0</v>
      </c>
      <c r="AH18" s="443">
        <f t="shared" si="20"/>
        <v>0</v>
      </c>
      <c r="AI18" s="444"/>
      <c r="AJ18" s="444"/>
      <c r="AK18" s="444"/>
      <c r="AL18" s="445"/>
      <c r="AM18" s="476"/>
      <c r="AN18" s="241">
        <f t="shared" si="4"/>
        <v>0</v>
      </c>
      <c r="AO18" s="241">
        <f t="shared" si="5"/>
        <v>0</v>
      </c>
      <c r="AP18" s="241">
        <f t="shared" si="6"/>
        <v>0</v>
      </c>
      <c r="AQ18" s="443">
        <f t="shared" si="15"/>
        <v>0</v>
      </c>
      <c r="AR18" s="444"/>
      <c r="AS18" s="444"/>
      <c r="AT18" s="444"/>
      <c r="AU18" s="445"/>
      <c r="AZ18" s="189"/>
      <c r="BA18" s="189"/>
      <c r="BB18" s="189"/>
      <c r="BC18" s="189"/>
      <c r="BD18" s="189"/>
      <c r="BE18" s="189"/>
      <c r="BG18" s="145">
        <f>IF($K18&gt;=0,+SUM(L$9:$L18)-$B18+Jun!$AZ$40+SUM(AQ$9:$AQ18)," ")</f>
        <v>-3.3333333333303017E-3</v>
      </c>
      <c r="BH18" s="144">
        <f t="shared" si="21"/>
        <v>-1</v>
      </c>
      <c r="BI18" s="146">
        <f t="shared" si="29"/>
        <v>0</v>
      </c>
      <c r="BJ18" s="146">
        <f t="shared" si="30"/>
        <v>-3.3333333333303017E-3</v>
      </c>
      <c r="BK18" s="146">
        <f t="shared" si="22"/>
        <v>-1.9999999999981812E-3</v>
      </c>
      <c r="BL18" s="164">
        <f t="shared" si="27"/>
        <v>-1.9999999999981812E-3</v>
      </c>
      <c r="BM18" s="157">
        <f t="shared" si="31"/>
        <v>7.0359999999999996</v>
      </c>
      <c r="BN18">
        <f t="shared" si="28"/>
        <v>2</v>
      </c>
    </row>
    <row r="19" spans="1:66" ht="15.95" customHeight="1" x14ac:dyDescent="0.25">
      <c r="A19" s="83"/>
      <c r="B19" s="84">
        <f>IF($I19&lt;&gt;"",IF(WEEKDAY($I19,2)&lt;6,IF(VLOOKUP(WEEKDAY($I19,2),InputUge,3)&gt;0,IF($A19="",VLOOKUP(WEEKDAY($I19,2),InputUge,3)+MAX(B$8:B18),IF($A19&lt;VLOOKUP(WEEKDAY($I19,2),InputUge,3),$A19+MAX(B$8:B18),VLOOKUP(WEEKDAY($I19,2),InputUge,3)+MAX(B$8:B18))),""),""),"")</f>
        <v>44.069999999999993</v>
      </c>
      <c r="C19" s="144">
        <f t="shared" si="23"/>
        <v>1</v>
      </c>
      <c r="D19" s="146">
        <f t="shared" si="24"/>
        <v>44</v>
      </c>
      <c r="E19" s="146">
        <f t="shared" si="25"/>
        <v>6.9999999999993179E-2</v>
      </c>
      <c r="F19" s="146">
        <f t="shared" si="26"/>
        <v>4.1999999999995909E-2</v>
      </c>
      <c r="G19" s="261">
        <f t="shared" si="16"/>
        <v>44.041999999999994</v>
      </c>
      <c r="H19" s="4">
        <v>11</v>
      </c>
      <c r="I19" s="16">
        <f t="shared" si="10"/>
        <v>41436</v>
      </c>
      <c r="J19" s="6">
        <v>0.34791666666666665</v>
      </c>
      <c r="K19" s="6">
        <v>0.64236111111111105</v>
      </c>
      <c r="L19" s="5">
        <f>IF(K19&gt;0,ROUND(((K19-J19)*24)-SUM(BR19:BS19)+BT19,2)+IF(Fredagsfrokost="n",IF(WEEKDAY($I19,2)=5,IF(K19&gt;=0.5,IF(K19&lt;=13/24,0,0),0),0),0),IF(AW19&gt;0,AW19,""))</f>
        <v>7.07</v>
      </c>
      <c r="M19" s="141">
        <f>FLOOR(L19,1)</f>
        <v>7</v>
      </c>
      <c r="N19" s="141">
        <f>+L19-M19</f>
        <v>7.0000000000000284E-2</v>
      </c>
      <c r="O19" s="141">
        <f>+N19/100*60</f>
        <v>4.2000000000000169E-2</v>
      </c>
      <c r="P19" s="162">
        <f>IF(J19="","",O19+M19)</f>
        <v>7.0419999999999998</v>
      </c>
      <c r="Q19" s="572"/>
      <c r="R19" s="573"/>
      <c r="S19" s="573"/>
      <c r="T19" s="574"/>
      <c r="U19" s="442"/>
      <c r="V19" s="241">
        <f t="shared" si="0"/>
        <v>0</v>
      </c>
      <c r="W19" s="241">
        <f t="shared" si="17"/>
        <v>0</v>
      </c>
      <c r="X19" s="241">
        <f t="shared" si="1"/>
        <v>0</v>
      </c>
      <c r="Y19" s="443">
        <f t="shared" si="18"/>
        <v>0</v>
      </c>
      <c r="Z19" s="442"/>
      <c r="AA19" s="442"/>
      <c r="AB19" s="442"/>
      <c r="AC19" s="442"/>
      <c r="AD19" s="442"/>
      <c r="AE19" s="241">
        <f t="shared" si="2"/>
        <v>0</v>
      </c>
      <c r="AF19" s="241">
        <f t="shared" si="19"/>
        <v>0</v>
      </c>
      <c r="AG19" s="241">
        <f t="shared" si="3"/>
        <v>0</v>
      </c>
      <c r="AH19" s="443">
        <f t="shared" si="20"/>
        <v>0</v>
      </c>
      <c r="AI19" s="444"/>
      <c r="AJ19" s="444"/>
      <c r="AK19" s="444"/>
      <c r="AL19" s="445"/>
      <c r="AM19" s="476"/>
      <c r="AN19" s="241">
        <f t="shared" si="4"/>
        <v>0</v>
      </c>
      <c r="AO19" s="241">
        <f t="shared" si="5"/>
        <v>0</v>
      </c>
      <c r="AP19" s="241">
        <f t="shared" si="6"/>
        <v>0</v>
      </c>
      <c r="AQ19" s="443">
        <f t="shared" si="15"/>
        <v>0</v>
      </c>
      <c r="AR19" s="444"/>
      <c r="AS19" s="444"/>
      <c r="AT19" s="444"/>
      <c r="AU19" s="445"/>
      <c r="AZ19" s="189"/>
      <c r="BA19" s="189"/>
      <c r="BB19" s="189"/>
      <c r="BC19" s="189"/>
      <c r="BD19" s="189"/>
      <c r="BE19" s="189"/>
      <c r="BG19" s="145">
        <f>IF($K19&gt;=0,+SUM(L$9:$L19)-$B19+Jun!$AZ$40+SUM(AQ$9:$AQ19)," ")</f>
        <v>7.1054273576010019E-15</v>
      </c>
      <c r="BH19" s="144">
        <f t="shared" si="21"/>
        <v>1</v>
      </c>
      <c r="BI19" s="146">
        <f t="shared" si="29"/>
        <v>0</v>
      </c>
      <c r="BJ19" s="146">
        <f t="shared" si="30"/>
        <v>7.1054273576010019E-15</v>
      </c>
      <c r="BK19" s="146">
        <f t="shared" si="22"/>
        <v>4.263256414560601E-15</v>
      </c>
      <c r="BL19" s="164">
        <f t="shared" si="27"/>
        <v>4.263256414560601E-15</v>
      </c>
      <c r="BM19" s="157">
        <f t="shared" si="31"/>
        <v>7.0419999999999998</v>
      </c>
      <c r="BN19">
        <f t="shared" si="28"/>
        <v>2</v>
      </c>
    </row>
    <row r="20" spans="1:66" ht="15.95" customHeight="1" x14ac:dyDescent="0.25">
      <c r="A20" s="83"/>
      <c r="B20" s="84">
        <f>IF($I20&lt;&gt;"",IF(WEEKDAY($I20,2)&lt;6,IF(VLOOKUP(WEEKDAY($I20,2),InputUge,3)&gt;0,IF($A20="",VLOOKUP(WEEKDAY($I20,2),InputUge,3)+MAX(B$8:B19),IF($A20&lt;VLOOKUP(WEEKDAY($I20,2),InputUge,3),$A20+MAX(B$8:B19),VLOOKUP(WEEKDAY($I20,2),InputUge,3)+MAX(B$8:B19))),""),""),"")</f>
        <v>51.136666666666656</v>
      </c>
      <c r="C20" s="144">
        <f t="shared" ref="C20:C26" si="32">IF(B20&lt;0,-1,1)</f>
        <v>1</v>
      </c>
      <c r="D20" s="146">
        <f t="shared" si="24"/>
        <v>51</v>
      </c>
      <c r="E20" s="146">
        <f t="shared" si="25"/>
        <v>0.13666666666665606</v>
      </c>
      <c r="F20" s="146">
        <f t="shared" ref="F20:F26" si="33">+E20/100*60</f>
        <v>8.1999999999993634E-2</v>
      </c>
      <c r="G20" s="261">
        <f t="shared" si="16"/>
        <v>51.081999999999994</v>
      </c>
      <c r="H20" s="4">
        <v>12</v>
      </c>
      <c r="I20" s="16">
        <f t="shared" si="10"/>
        <v>41437</v>
      </c>
      <c r="J20" s="6">
        <v>0.34791666666666665</v>
      </c>
      <c r="K20" s="6">
        <v>0.64236111111111105</v>
      </c>
      <c r="L20" s="5">
        <f>IF(K20&gt;0,ROUND(((K20-J20)*24)-SUM(BR20:BS20)+BT20,2)+IF(Fredagsfrokost="n",IF(WEEKDAY($I20,2)=5,IF(K20&gt;=0.5,IF(K20&lt;=13/24,0,0),0),0),0),IF(AW20&gt;0,AW20,""))</f>
        <v>7.07</v>
      </c>
      <c r="M20" s="141">
        <f>FLOOR(L20,1)</f>
        <v>7</v>
      </c>
      <c r="N20" s="141">
        <f>+L20-M20</f>
        <v>7.0000000000000284E-2</v>
      </c>
      <c r="O20" s="141">
        <f>+N20/100*60</f>
        <v>4.2000000000000169E-2</v>
      </c>
      <c r="P20" s="162">
        <f>IF(J20="","",O20+M20)</f>
        <v>7.0419999999999998</v>
      </c>
      <c r="Q20" s="572"/>
      <c r="R20" s="573"/>
      <c r="S20" s="573"/>
      <c r="T20" s="574"/>
      <c r="U20" s="442"/>
      <c r="V20" s="241">
        <f t="shared" si="0"/>
        <v>0</v>
      </c>
      <c r="W20" s="241">
        <f t="shared" si="17"/>
        <v>0</v>
      </c>
      <c r="X20" s="241">
        <f t="shared" si="1"/>
        <v>0</v>
      </c>
      <c r="Y20" s="443">
        <f t="shared" si="18"/>
        <v>0</v>
      </c>
      <c r="Z20" s="442"/>
      <c r="AA20" s="442"/>
      <c r="AB20" s="442"/>
      <c r="AC20" s="442"/>
      <c r="AD20" s="442"/>
      <c r="AE20" s="241">
        <f t="shared" si="2"/>
        <v>0</v>
      </c>
      <c r="AF20" s="241">
        <f t="shared" si="19"/>
        <v>0</v>
      </c>
      <c r="AG20" s="241">
        <f t="shared" si="3"/>
        <v>0</v>
      </c>
      <c r="AH20" s="443">
        <f t="shared" si="20"/>
        <v>0</v>
      </c>
      <c r="AI20" s="444"/>
      <c r="AJ20" s="444"/>
      <c r="AK20" s="444"/>
      <c r="AL20" s="445"/>
      <c r="AM20" s="476"/>
      <c r="AN20" s="241">
        <f t="shared" si="4"/>
        <v>0</v>
      </c>
      <c r="AO20" s="241">
        <f t="shared" si="5"/>
        <v>0</v>
      </c>
      <c r="AP20" s="241">
        <f t="shared" si="6"/>
        <v>0</v>
      </c>
      <c r="AQ20" s="443">
        <f t="shared" si="15"/>
        <v>0</v>
      </c>
      <c r="AR20" s="444"/>
      <c r="AS20" s="444"/>
      <c r="AT20" s="444"/>
      <c r="AU20" s="445"/>
      <c r="AZ20" s="189"/>
      <c r="BA20" s="189"/>
      <c r="BB20" s="189"/>
      <c r="BC20" s="189"/>
      <c r="BD20" s="189"/>
      <c r="BE20" s="189"/>
      <c r="BG20" s="145">
        <f>IF($K20&gt;=0,+SUM(L$9:$L20)-$B20+Jun!$AZ$40+SUM(AQ$9:$AQ20)," ")</f>
        <v>3.3333333333445125E-3</v>
      </c>
      <c r="BH20" s="144">
        <f t="shared" si="21"/>
        <v>1</v>
      </c>
      <c r="BI20" s="146">
        <f>FLOOR(BG20,BH20)</f>
        <v>0</v>
      </c>
      <c r="BJ20" s="146">
        <f>+BG20-BI20</f>
        <v>3.3333333333445125E-3</v>
      </c>
      <c r="BK20" s="146">
        <f t="shared" si="22"/>
        <v>2.0000000000067073E-3</v>
      </c>
      <c r="BL20" s="164">
        <f t="shared" si="27"/>
        <v>2.0000000000067073E-3</v>
      </c>
      <c r="BM20" s="157">
        <f t="shared" si="31"/>
        <v>7.0419999999999998</v>
      </c>
      <c r="BN20">
        <f t="shared" si="28"/>
        <v>2</v>
      </c>
    </row>
    <row r="21" spans="1:66" ht="15.95" customHeight="1" x14ac:dyDescent="0.25">
      <c r="A21" s="83"/>
      <c r="B21" s="84">
        <f>IF($I21&lt;&gt;"",IF(WEEKDAY($I21,2)&lt;6,IF(VLOOKUP(WEEKDAY($I21,2),InputUge,3)&gt;0,IF($A21="",VLOOKUP(WEEKDAY($I21,2),InputUge,3)+MAX(B$8:B20),IF($A21&lt;VLOOKUP(WEEKDAY($I21,2),InputUge,3),$A21+MAX(B$8:B20),VLOOKUP(WEEKDAY($I21,2),InputUge,3)+MAX(B$8:B20))),""),""),"")</f>
        <v>60.546666666666653</v>
      </c>
      <c r="C21" s="144">
        <f t="shared" si="32"/>
        <v>1</v>
      </c>
      <c r="D21" s="146">
        <f t="shared" ref="D21:D27" si="34">FLOOR(B21,C21)</f>
        <v>60</v>
      </c>
      <c r="E21" s="146">
        <f t="shared" ref="E21:E27" si="35">+B21-D21</f>
        <v>0.54666666666665265</v>
      </c>
      <c r="F21" s="146">
        <f t="shared" si="33"/>
        <v>0.32799999999999158</v>
      </c>
      <c r="G21" s="261">
        <f t="shared" si="16"/>
        <v>60.327999999999989</v>
      </c>
      <c r="H21" s="4">
        <v>13</v>
      </c>
      <c r="I21" s="16">
        <f t="shared" si="10"/>
        <v>41438</v>
      </c>
      <c r="J21" s="6">
        <v>0.34791666666666665</v>
      </c>
      <c r="K21" s="6">
        <v>0.73958333333333337</v>
      </c>
      <c r="L21" s="5">
        <f>IF(K21&gt;0,ROUND(((K21-J21)*24)-SUM(BR21:BS21)+BT21,2)+IF(Fredagsfrokost="n",IF(WEEKDAY($I21,2)=5,IF(K21&gt;=0.5,IF(K21&lt;=13/24,0,0),0),0),0),IF(AW21&gt;0,AW21,""))</f>
        <v>9.4</v>
      </c>
      <c r="M21" s="141">
        <f>FLOOR(L21,1)</f>
        <v>9</v>
      </c>
      <c r="N21" s="141">
        <f>+L21-M21</f>
        <v>0.40000000000000036</v>
      </c>
      <c r="O21" s="141">
        <f>+N21/100*60</f>
        <v>0.24000000000000021</v>
      </c>
      <c r="P21" s="162">
        <f>IF(J21="","",O21+M21)</f>
        <v>9.24</v>
      </c>
      <c r="Q21" s="572"/>
      <c r="R21" s="573"/>
      <c r="S21" s="573"/>
      <c r="T21" s="574"/>
      <c r="U21" s="442"/>
      <c r="V21" s="241">
        <f t="shared" si="0"/>
        <v>0</v>
      </c>
      <c r="W21" s="241">
        <f t="shared" si="17"/>
        <v>0</v>
      </c>
      <c r="X21" s="241">
        <f t="shared" si="1"/>
        <v>0</v>
      </c>
      <c r="Y21" s="443">
        <f t="shared" si="18"/>
        <v>0</v>
      </c>
      <c r="Z21" s="442"/>
      <c r="AA21" s="442"/>
      <c r="AB21" s="442"/>
      <c r="AC21" s="442"/>
      <c r="AD21" s="442"/>
      <c r="AE21" s="241">
        <f t="shared" si="2"/>
        <v>0</v>
      </c>
      <c r="AF21" s="241">
        <f t="shared" si="19"/>
        <v>0</v>
      </c>
      <c r="AG21" s="241">
        <f t="shared" si="3"/>
        <v>0</v>
      </c>
      <c r="AH21" s="443">
        <f t="shared" si="20"/>
        <v>0</v>
      </c>
      <c r="AI21" s="444"/>
      <c r="AJ21" s="444"/>
      <c r="AK21" s="444"/>
      <c r="AL21" s="445"/>
      <c r="AM21" s="476"/>
      <c r="AN21" s="241">
        <f t="shared" si="4"/>
        <v>0</v>
      </c>
      <c r="AO21" s="241">
        <f t="shared" si="5"/>
        <v>0</v>
      </c>
      <c r="AP21" s="241">
        <f t="shared" si="6"/>
        <v>0</v>
      </c>
      <c r="AQ21" s="443">
        <f t="shared" si="15"/>
        <v>0</v>
      </c>
      <c r="AR21" s="444"/>
      <c r="AS21" s="444"/>
      <c r="AT21" s="444"/>
      <c r="AU21" s="445"/>
      <c r="AZ21" s="189"/>
      <c r="BA21" s="189"/>
      <c r="BB21" s="189"/>
      <c r="BC21" s="189"/>
      <c r="BD21" s="189"/>
      <c r="BE21" s="189"/>
      <c r="BG21" s="145">
        <f>IF($K21&gt;=0,+SUM(L$9:$L21)-$B21+Jun!$AZ$40+SUM(AQ$9:$AQ21)," ")</f>
        <v>-6.6666666666534979E-3</v>
      </c>
      <c r="BH21" s="144">
        <f t="shared" si="21"/>
        <v>-1</v>
      </c>
      <c r="BI21" s="146">
        <f t="shared" si="29"/>
        <v>0</v>
      </c>
      <c r="BJ21" s="146">
        <f t="shared" si="30"/>
        <v>-6.6666666666534979E-3</v>
      </c>
      <c r="BK21" s="146">
        <f t="shared" si="22"/>
        <v>-3.9999999999920984E-3</v>
      </c>
      <c r="BL21" s="164">
        <f t="shared" ref="BL21:BL33" si="36">IF(BN21=2,+BK21+BI21,"")</f>
        <v>-3.9999999999920984E-3</v>
      </c>
      <c r="BM21" s="157">
        <f t="shared" si="31"/>
        <v>9.24</v>
      </c>
      <c r="BN21">
        <f t="shared" si="28"/>
        <v>2</v>
      </c>
    </row>
    <row r="22" spans="1:66" ht="15.95" customHeight="1" x14ac:dyDescent="0.25">
      <c r="A22" s="83"/>
      <c r="B22" s="84">
        <f>IF($I22&lt;&gt;"",IF(WEEKDAY($I22,2)&lt;6,IF(VLOOKUP(WEEKDAY($I22,2),InputUge,3)&gt;0,IF($A22="",VLOOKUP(WEEKDAY($I22,2),InputUge,3)+MAX(B$8:B21),IF($A22&lt;VLOOKUP(WEEKDAY($I22,2),InputUge,3),$A22+MAX(B$8:B21),VLOOKUP(WEEKDAY($I22,2),InputUge,3)+MAX(B$8:B21))),""),""),"")</f>
        <v>66.946666666666658</v>
      </c>
      <c r="C22" s="144">
        <f t="shared" si="32"/>
        <v>1</v>
      </c>
      <c r="D22" s="146">
        <f t="shared" si="34"/>
        <v>66</v>
      </c>
      <c r="E22" s="146">
        <f t="shared" si="35"/>
        <v>0.94666666666665833</v>
      </c>
      <c r="F22" s="146">
        <f t="shared" si="33"/>
        <v>0.56799999999999495</v>
      </c>
      <c r="G22" s="261">
        <f t="shared" si="16"/>
        <v>66.567999999999998</v>
      </c>
      <c r="H22" s="4">
        <v>14</v>
      </c>
      <c r="I22" s="16">
        <f t="shared" si="10"/>
        <v>41439</v>
      </c>
      <c r="J22" s="6">
        <v>0.34791666666666665</v>
      </c>
      <c r="K22" s="6">
        <v>0.61458333333333337</v>
      </c>
      <c r="L22" s="5">
        <f>IF(K22&gt;0,ROUND(((K22-J22)*24)-SUM(BR22:BS22)+BT22,2)+IF(Fredagsfrokost="n",IF(WEEKDAY($I22,2)=5,IF(K22&gt;=0.5,IF(K22&lt;=13/24,0,0),0),0),0),IF(AW22&gt;0,AW22,""))</f>
        <v>6.4</v>
      </c>
      <c r="M22" s="141">
        <f>FLOOR(L22,1)</f>
        <v>6</v>
      </c>
      <c r="N22" s="141">
        <f>+L22-M22</f>
        <v>0.40000000000000036</v>
      </c>
      <c r="O22" s="141">
        <f>+N22/100*60</f>
        <v>0.24000000000000021</v>
      </c>
      <c r="P22" s="162">
        <f>IF(J22="","",O22+M22)</f>
        <v>6.24</v>
      </c>
      <c r="Q22" s="572"/>
      <c r="R22" s="573"/>
      <c r="S22" s="573"/>
      <c r="T22" s="574"/>
      <c r="U22" s="442"/>
      <c r="V22" s="241">
        <f t="shared" si="0"/>
        <v>0</v>
      </c>
      <c r="W22" s="241">
        <f t="shared" si="17"/>
        <v>0</v>
      </c>
      <c r="X22" s="241">
        <f t="shared" si="1"/>
        <v>0</v>
      </c>
      <c r="Y22" s="443">
        <f t="shared" si="18"/>
        <v>0</v>
      </c>
      <c r="Z22" s="442"/>
      <c r="AA22" s="442"/>
      <c r="AB22" s="442"/>
      <c r="AC22" s="442"/>
      <c r="AD22" s="442"/>
      <c r="AE22" s="241">
        <f t="shared" si="2"/>
        <v>0</v>
      </c>
      <c r="AF22" s="241">
        <f t="shared" si="19"/>
        <v>0</v>
      </c>
      <c r="AG22" s="241">
        <f t="shared" si="3"/>
        <v>0</v>
      </c>
      <c r="AH22" s="443">
        <f t="shared" si="20"/>
        <v>0</v>
      </c>
      <c r="AI22" s="444"/>
      <c r="AJ22" s="444"/>
      <c r="AK22" s="444"/>
      <c r="AL22" s="445"/>
      <c r="AM22" s="476"/>
      <c r="AN22" s="241">
        <f t="shared" si="4"/>
        <v>0</v>
      </c>
      <c r="AO22" s="241">
        <f t="shared" si="5"/>
        <v>0</v>
      </c>
      <c r="AP22" s="241">
        <f t="shared" si="6"/>
        <v>0</v>
      </c>
      <c r="AQ22" s="443">
        <f t="shared" si="15"/>
        <v>0</v>
      </c>
      <c r="AR22" s="444"/>
      <c r="AS22" s="444"/>
      <c r="AT22" s="444"/>
      <c r="AU22" s="445"/>
      <c r="AZ22" s="189"/>
      <c r="BA22" s="189"/>
      <c r="BB22" s="189"/>
      <c r="BC22" s="189"/>
      <c r="BD22" s="189"/>
      <c r="BE22" s="189"/>
      <c r="BG22" s="145">
        <f>IF($K22&gt;=0,+SUM(L$9:$L22)-$B22+Jun!$AZ$40+SUM(AQ$9:$AQ22)," ")</f>
        <v>-6.6666666666606034E-3</v>
      </c>
      <c r="BH22" s="144">
        <f t="shared" si="21"/>
        <v>-1</v>
      </c>
      <c r="BI22" s="146">
        <f t="shared" si="29"/>
        <v>0</v>
      </c>
      <c r="BJ22" s="146">
        <f t="shared" si="30"/>
        <v>-6.6666666666606034E-3</v>
      </c>
      <c r="BK22" s="146">
        <f t="shared" si="22"/>
        <v>-3.9999999999963624E-3</v>
      </c>
      <c r="BL22" s="164">
        <f t="shared" si="36"/>
        <v>-3.9999999999963624E-3</v>
      </c>
      <c r="BM22" s="157">
        <f t="shared" si="31"/>
        <v>6.24</v>
      </c>
      <c r="BN22">
        <f t="shared" si="28"/>
        <v>2</v>
      </c>
    </row>
    <row r="23" spans="1:66" ht="15.95" customHeight="1" x14ac:dyDescent="0.25">
      <c r="A23" s="83"/>
      <c r="B23" s="84" t="str">
        <f>IF($I23&lt;&gt;"",IF(WEEKDAY($I23,2)&lt;6,IF(VLOOKUP(WEEKDAY($I23,2),InputUge,3)&gt;0,IF($A23="",VLOOKUP(WEEKDAY($I23,2),InputUge,3)+MAX(B$8:B22),IF($A23&lt;VLOOKUP(WEEKDAY($I23,2),InputUge,3),$A23+MAX(B$8:B22),VLOOKUP(WEEKDAY($I23,2),InputUge,3)+MAX(B$8:B22))),""),""),"")</f>
        <v/>
      </c>
      <c r="C23" s="144">
        <f t="shared" si="32"/>
        <v>1</v>
      </c>
      <c r="D23" s="146" t="e">
        <f t="shared" si="34"/>
        <v>#VALUE!</v>
      </c>
      <c r="E23" s="146" t="e">
        <f t="shared" si="35"/>
        <v>#VALUE!</v>
      </c>
      <c r="F23" s="146" t="e">
        <f t="shared" si="33"/>
        <v>#VALUE!</v>
      </c>
      <c r="G23" s="261"/>
      <c r="H23" s="4">
        <v>15</v>
      </c>
      <c r="I23" s="16">
        <f t="shared" si="10"/>
        <v>41440</v>
      </c>
      <c r="J23" s="6"/>
      <c r="K23" s="6"/>
      <c r="L23" s="5"/>
      <c r="M23" s="141"/>
      <c r="N23" s="141"/>
      <c r="O23" s="141"/>
      <c r="P23" s="162"/>
      <c r="Q23" s="572"/>
      <c r="R23" s="573"/>
      <c r="S23" s="573"/>
      <c r="T23" s="574"/>
      <c r="U23" s="442"/>
      <c r="V23" s="241">
        <f t="shared" si="0"/>
        <v>0</v>
      </c>
      <c r="W23" s="241">
        <f t="shared" si="17"/>
        <v>0</v>
      </c>
      <c r="X23" s="241">
        <f t="shared" si="1"/>
        <v>0</v>
      </c>
      <c r="Y23" s="443">
        <f t="shared" si="18"/>
        <v>0</v>
      </c>
      <c r="Z23" s="442"/>
      <c r="AA23" s="442"/>
      <c r="AB23" s="442"/>
      <c r="AC23" s="442"/>
      <c r="AD23" s="442"/>
      <c r="AE23" s="241">
        <f t="shared" si="2"/>
        <v>0</v>
      </c>
      <c r="AF23" s="241">
        <f t="shared" si="19"/>
        <v>0</v>
      </c>
      <c r="AG23" s="241">
        <f t="shared" si="3"/>
        <v>0</v>
      </c>
      <c r="AH23" s="443">
        <f t="shared" si="20"/>
        <v>0</v>
      </c>
      <c r="AI23" s="444"/>
      <c r="AJ23" s="444"/>
      <c r="AK23" s="444"/>
      <c r="AL23" s="445"/>
      <c r="AM23" s="476"/>
      <c r="AN23" s="241">
        <f t="shared" si="4"/>
        <v>0</v>
      </c>
      <c r="AO23" s="241">
        <f t="shared" si="5"/>
        <v>0</v>
      </c>
      <c r="AP23" s="241">
        <f t="shared" si="6"/>
        <v>0</v>
      </c>
      <c r="AQ23" s="443">
        <f t="shared" si="15"/>
        <v>0</v>
      </c>
      <c r="AR23" s="444"/>
      <c r="AS23" s="444"/>
      <c r="AT23" s="444"/>
      <c r="AU23" s="445"/>
      <c r="AZ23" s="189"/>
      <c r="BA23" s="189"/>
      <c r="BB23" s="189"/>
      <c r="BC23" s="189"/>
      <c r="BD23" s="189"/>
      <c r="BE23" s="189"/>
      <c r="BG23" s="145" t="e">
        <f>IF($K23&gt;=0,+SUM(L$9:$L23)-$B23+Jun!$AZ$40+SUM(AQ$9:$AQ23)," ")</f>
        <v>#VALUE!</v>
      </c>
      <c r="BH23" s="144" t="e">
        <f t="shared" ref="BH23:BH30" si="37">IF(BG23&lt;0,-1,1)</f>
        <v>#VALUE!</v>
      </c>
      <c r="BI23" s="146" t="e">
        <f t="shared" ref="BI23:BI29" si="38">FLOOR(BG23,BH23)</f>
        <v>#VALUE!</v>
      </c>
      <c r="BJ23" s="146" t="e">
        <f t="shared" ref="BJ23:BJ29" si="39">+BG23-BI23</f>
        <v>#VALUE!</v>
      </c>
      <c r="BK23" s="146" t="e">
        <f t="shared" ref="BK23:BK30" si="40">+BJ23/100*60</f>
        <v>#VALUE!</v>
      </c>
      <c r="BL23" s="164"/>
      <c r="BM23" s="157">
        <f t="shared" ref="BM23:BM29" si="41">+P23</f>
        <v>0</v>
      </c>
      <c r="BN23">
        <f t="shared" si="28"/>
        <v>2</v>
      </c>
    </row>
    <row r="24" spans="1:66" ht="15.95" customHeight="1" x14ac:dyDescent="0.25">
      <c r="A24" s="83"/>
      <c r="B24" s="84" t="str">
        <f>IF($I24&lt;&gt;"",IF(WEEKDAY($I24,2)&lt;6,IF(VLOOKUP(WEEKDAY($I24,2),InputUge,3)&gt;0,IF($A24="",VLOOKUP(WEEKDAY($I24,2),InputUge,3)+MAX(B$8:B23),IF($A24&lt;VLOOKUP(WEEKDAY($I24,2),InputUge,3),$A24+MAX(B$8:B23),VLOOKUP(WEEKDAY($I24,2),InputUge,3)+MAX(B$8:B23))),""),""),"")</f>
        <v/>
      </c>
      <c r="C24" s="144">
        <f t="shared" si="32"/>
        <v>1</v>
      </c>
      <c r="D24" s="146" t="e">
        <f t="shared" si="34"/>
        <v>#VALUE!</v>
      </c>
      <c r="E24" s="146" t="e">
        <f t="shared" si="35"/>
        <v>#VALUE!</v>
      </c>
      <c r="F24" s="146" t="e">
        <f t="shared" si="33"/>
        <v>#VALUE!</v>
      </c>
      <c r="G24" s="261"/>
      <c r="H24" s="4">
        <v>16</v>
      </c>
      <c r="I24" s="16">
        <f t="shared" si="10"/>
        <v>41441</v>
      </c>
      <c r="J24" s="6"/>
      <c r="K24" s="6"/>
      <c r="L24" s="5"/>
      <c r="M24" s="141"/>
      <c r="N24" s="141"/>
      <c r="O24" s="141"/>
      <c r="P24" s="141"/>
      <c r="Q24" s="572"/>
      <c r="R24" s="573"/>
      <c r="S24" s="573"/>
      <c r="T24" s="574"/>
      <c r="U24" s="442"/>
      <c r="V24" s="241">
        <f t="shared" si="0"/>
        <v>0</v>
      </c>
      <c r="W24" s="241">
        <f t="shared" si="17"/>
        <v>0</v>
      </c>
      <c r="X24" s="241">
        <f t="shared" si="1"/>
        <v>0</v>
      </c>
      <c r="Y24" s="443">
        <f t="shared" si="18"/>
        <v>0</v>
      </c>
      <c r="Z24" s="442"/>
      <c r="AA24" s="442"/>
      <c r="AB24" s="442"/>
      <c r="AC24" s="442"/>
      <c r="AD24" s="442"/>
      <c r="AE24" s="241">
        <f t="shared" si="2"/>
        <v>0</v>
      </c>
      <c r="AF24" s="241">
        <f t="shared" si="19"/>
        <v>0</v>
      </c>
      <c r="AG24" s="241">
        <f t="shared" si="3"/>
        <v>0</v>
      </c>
      <c r="AH24" s="443">
        <f t="shared" si="20"/>
        <v>0</v>
      </c>
      <c r="AI24" s="444"/>
      <c r="AJ24" s="444"/>
      <c r="AK24" s="444"/>
      <c r="AL24" s="445"/>
      <c r="AM24" s="476"/>
      <c r="AN24" s="241">
        <f t="shared" si="4"/>
        <v>0</v>
      </c>
      <c r="AO24" s="241">
        <f t="shared" si="5"/>
        <v>0</v>
      </c>
      <c r="AP24" s="241">
        <f t="shared" si="6"/>
        <v>0</v>
      </c>
      <c r="AQ24" s="443">
        <f t="shared" si="15"/>
        <v>0</v>
      </c>
      <c r="AR24" s="444"/>
      <c r="AS24" s="444"/>
      <c r="AT24" s="444"/>
      <c r="AU24" s="445"/>
      <c r="AZ24" s="189"/>
      <c r="BA24" s="189"/>
      <c r="BB24" s="189"/>
      <c r="BC24" s="189"/>
      <c r="BD24" s="189"/>
      <c r="BE24" s="189"/>
      <c r="BG24" s="145" t="e">
        <f>IF($K24&gt;=0,+SUM(L$9:$L24)-$B24+Jun!$AZ$40+SUM(AQ$9:$AQ24)," ")</f>
        <v>#VALUE!</v>
      </c>
      <c r="BH24" s="144" t="e">
        <f t="shared" si="37"/>
        <v>#VALUE!</v>
      </c>
      <c r="BI24" s="146" t="e">
        <f t="shared" si="38"/>
        <v>#VALUE!</v>
      </c>
      <c r="BJ24" s="146" t="e">
        <f t="shared" si="39"/>
        <v>#VALUE!</v>
      </c>
      <c r="BK24" s="146" t="e">
        <f t="shared" si="40"/>
        <v>#VALUE!</v>
      </c>
      <c r="BL24" s="164"/>
      <c r="BM24" s="157">
        <f t="shared" si="41"/>
        <v>0</v>
      </c>
      <c r="BN24">
        <f t="shared" si="28"/>
        <v>2</v>
      </c>
    </row>
    <row r="25" spans="1:66" ht="15.95" customHeight="1" x14ac:dyDescent="0.25">
      <c r="A25" s="83"/>
      <c r="B25" s="84">
        <f>IF($I25&lt;&gt;"",IF(WEEKDAY($I25,2)&lt;6,IF(VLOOKUP(WEEKDAY($I25,2),InputUge,3)&gt;0,IF($A25="",VLOOKUP(WEEKDAY($I25,2),InputUge,3)+MAX(B$8:B24),IF($A25&lt;VLOOKUP(WEEKDAY($I25,2),InputUge,3),$A25+MAX(B$8:B24),VLOOKUP(WEEKDAY($I25,2),InputUge,3)+MAX(B$8:B24))),""),""),"")</f>
        <v>74.009999999999991</v>
      </c>
      <c r="C25" s="144">
        <f t="shared" si="32"/>
        <v>1</v>
      </c>
      <c r="D25" s="146">
        <f t="shared" si="34"/>
        <v>74</v>
      </c>
      <c r="E25" s="146">
        <f t="shared" si="35"/>
        <v>9.9999999999909051E-3</v>
      </c>
      <c r="F25" s="146">
        <f t="shared" si="33"/>
        <v>5.9999999999945436E-3</v>
      </c>
      <c r="G25" s="261">
        <f t="shared" si="16"/>
        <v>74.006</v>
      </c>
      <c r="H25" s="4">
        <v>17</v>
      </c>
      <c r="I25" s="16">
        <f t="shared" si="10"/>
        <v>41442</v>
      </c>
      <c r="J25" s="6">
        <v>0.34826388888888887</v>
      </c>
      <c r="K25" s="6">
        <v>0.64265046296296291</v>
      </c>
      <c r="L25" s="5">
        <f>IF(K25&gt;0,ROUND(((K25-J25)*24)-SUM(BR25:BS25)+BT25,2)+IF(Fredagsfrokost="n",IF(WEEKDAY($I25,2)=5,IF(K25&gt;=0.5,IF(K25&lt;=13/24,0,0),0),0),0),IF(AW25&gt;0,AW25,""))</f>
        <v>7.07</v>
      </c>
      <c r="M25" s="141">
        <f>FLOOR(L25,1)</f>
        <v>7</v>
      </c>
      <c r="N25" s="141">
        <f>+L25-M25</f>
        <v>7.0000000000000284E-2</v>
      </c>
      <c r="O25" s="141">
        <f>+N25/100*60</f>
        <v>4.2000000000000169E-2</v>
      </c>
      <c r="P25" s="162">
        <f>IF(J25="","",O25+M25)</f>
        <v>7.0419999999999998</v>
      </c>
      <c r="Q25" s="572"/>
      <c r="R25" s="573"/>
      <c r="S25" s="573"/>
      <c r="T25" s="574"/>
      <c r="U25" s="442"/>
      <c r="V25" s="241">
        <f t="shared" si="0"/>
        <v>0</v>
      </c>
      <c r="W25" s="241">
        <f t="shared" si="17"/>
        <v>0</v>
      </c>
      <c r="X25" s="241">
        <f t="shared" si="1"/>
        <v>0</v>
      </c>
      <c r="Y25" s="443">
        <f t="shared" si="18"/>
        <v>0</v>
      </c>
      <c r="Z25" s="442"/>
      <c r="AA25" s="442"/>
      <c r="AB25" s="442"/>
      <c r="AC25" s="442"/>
      <c r="AD25" s="442"/>
      <c r="AE25" s="241">
        <f t="shared" si="2"/>
        <v>0</v>
      </c>
      <c r="AF25" s="241">
        <f t="shared" si="19"/>
        <v>0</v>
      </c>
      <c r="AG25" s="241">
        <f t="shared" si="3"/>
        <v>0</v>
      </c>
      <c r="AH25" s="443">
        <f t="shared" si="20"/>
        <v>0</v>
      </c>
      <c r="AI25" s="444"/>
      <c r="AJ25" s="444"/>
      <c r="AK25" s="444"/>
      <c r="AL25" s="445"/>
      <c r="AM25" s="476"/>
      <c r="AN25" s="241">
        <f t="shared" si="4"/>
        <v>0</v>
      </c>
      <c r="AO25" s="241">
        <f t="shared" si="5"/>
        <v>0</v>
      </c>
      <c r="AP25" s="241">
        <f t="shared" si="6"/>
        <v>0</v>
      </c>
      <c r="AQ25" s="443">
        <f t="shared" si="15"/>
        <v>0</v>
      </c>
      <c r="AR25" s="444"/>
      <c r="AS25" s="444"/>
      <c r="AT25" s="444"/>
      <c r="AU25" s="445"/>
      <c r="AZ25" s="189"/>
      <c r="BA25" s="189"/>
      <c r="BB25" s="189"/>
      <c r="BC25" s="189"/>
      <c r="BD25" s="189"/>
      <c r="BE25" s="189"/>
      <c r="BG25" s="145">
        <f>IF($K25&gt;=0,+SUM(L$9:$L25)-$B25+Jun!$AZ$40+SUM(AQ$9:$AQ25)," ")</f>
        <v>0</v>
      </c>
      <c r="BH25" s="144">
        <f t="shared" si="37"/>
        <v>1</v>
      </c>
      <c r="BI25" s="146">
        <f t="shared" si="38"/>
        <v>0</v>
      </c>
      <c r="BJ25" s="146">
        <f t="shared" si="39"/>
        <v>0</v>
      </c>
      <c r="BK25" s="146">
        <f t="shared" si="40"/>
        <v>0</v>
      </c>
      <c r="BL25" s="164">
        <f t="shared" si="36"/>
        <v>0</v>
      </c>
      <c r="BM25" s="157">
        <f t="shared" si="41"/>
        <v>7.0419999999999998</v>
      </c>
      <c r="BN25">
        <f t="shared" si="28"/>
        <v>2</v>
      </c>
    </row>
    <row r="26" spans="1:66" ht="15.95" customHeight="1" x14ac:dyDescent="0.25">
      <c r="A26" s="83"/>
      <c r="B26" s="84">
        <f>IF($I26&lt;&gt;"",IF(WEEKDAY($I26,2)&lt;6,IF(VLOOKUP(WEEKDAY($I26,2),InputUge,3)&gt;0,IF($A26="",VLOOKUP(WEEKDAY($I26,2),InputUge,3)+MAX(B$8:B25),IF($A26&lt;VLOOKUP(WEEKDAY($I26,2),InputUge,3),$A26+MAX(B$8:B25),VLOOKUP(WEEKDAY($I26,2),InputUge,3)+MAX(B$8:B25))),""),""),"")</f>
        <v>81.076666666666654</v>
      </c>
      <c r="C26" s="144">
        <f t="shared" si="32"/>
        <v>1</v>
      </c>
      <c r="D26" s="146">
        <f t="shared" si="34"/>
        <v>81</v>
      </c>
      <c r="E26" s="146">
        <f t="shared" si="35"/>
        <v>7.6666666666653782E-2</v>
      </c>
      <c r="F26" s="146">
        <f t="shared" si="33"/>
        <v>4.5999999999992269E-2</v>
      </c>
      <c r="G26" s="261">
        <f t="shared" si="16"/>
        <v>81.045999999999992</v>
      </c>
      <c r="H26" s="4">
        <v>18</v>
      </c>
      <c r="I26" s="16">
        <f t="shared" si="10"/>
        <v>41443</v>
      </c>
      <c r="J26" s="6">
        <v>0.34826388888888887</v>
      </c>
      <c r="K26" s="6">
        <v>0.64236111111111105</v>
      </c>
      <c r="L26" s="5">
        <f>IF(K26&gt;0,ROUND(((K26-J26)*24)-SUM(BR26:BS26)+BT26,2)+IF(Fredagsfrokost="n",IF(WEEKDAY($I26,2)=5,IF(K26&gt;=0.5,IF(K26&lt;=13/24,0,0),0),0),0),IF(AW26&gt;0,AW26,""))</f>
        <v>7.06</v>
      </c>
      <c r="M26" s="141">
        <f>FLOOR(L26,1)</f>
        <v>7</v>
      </c>
      <c r="N26" s="141">
        <f>+L26-M26</f>
        <v>5.9999999999999609E-2</v>
      </c>
      <c r="O26" s="141">
        <f>+N26/100*60</f>
        <v>3.5999999999999761E-2</v>
      </c>
      <c r="P26" s="162">
        <f>IF(J26="","",O26+M26)</f>
        <v>7.0359999999999996</v>
      </c>
      <c r="Q26" s="572"/>
      <c r="R26" s="573"/>
      <c r="S26" s="573"/>
      <c r="T26" s="574"/>
      <c r="U26" s="442"/>
      <c r="V26" s="241">
        <f t="shared" si="0"/>
        <v>0</v>
      </c>
      <c r="W26" s="241">
        <f t="shared" si="17"/>
        <v>0</v>
      </c>
      <c r="X26" s="241">
        <f t="shared" si="1"/>
        <v>0</v>
      </c>
      <c r="Y26" s="443">
        <f t="shared" si="18"/>
        <v>0</v>
      </c>
      <c r="Z26" s="442"/>
      <c r="AA26" s="442"/>
      <c r="AB26" s="442"/>
      <c r="AC26" s="442"/>
      <c r="AD26" s="442"/>
      <c r="AE26" s="241">
        <f t="shared" si="2"/>
        <v>0</v>
      </c>
      <c r="AF26" s="241">
        <f t="shared" si="19"/>
        <v>0</v>
      </c>
      <c r="AG26" s="241">
        <f t="shared" si="3"/>
        <v>0</v>
      </c>
      <c r="AH26" s="443">
        <f t="shared" si="20"/>
        <v>0</v>
      </c>
      <c r="AI26" s="444"/>
      <c r="AJ26" s="444"/>
      <c r="AK26" s="444"/>
      <c r="AL26" s="445"/>
      <c r="AM26" s="476"/>
      <c r="AN26" s="241">
        <f t="shared" si="4"/>
        <v>0</v>
      </c>
      <c r="AO26" s="241">
        <f t="shared" si="5"/>
        <v>0</v>
      </c>
      <c r="AP26" s="241">
        <f t="shared" si="6"/>
        <v>0</v>
      </c>
      <c r="AQ26" s="443">
        <f t="shared" si="15"/>
        <v>0</v>
      </c>
      <c r="AR26" s="444"/>
      <c r="AS26" s="444"/>
      <c r="AT26" s="444"/>
      <c r="AU26" s="445"/>
      <c r="AZ26" s="189"/>
      <c r="BA26" s="189"/>
      <c r="BB26" s="189"/>
      <c r="BC26" s="189"/>
      <c r="BD26" s="189"/>
      <c r="BE26" s="189"/>
      <c r="BG26" s="145">
        <f>IF($K26&gt;=0,+SUM(L$9:$L26)-$B26+Jun!$AZ$40+SUM(AQ$9:$AQ26)," ")</f>
        <v>-6.6666666666606034E-3</v>
      </c>
      <c r="BH26" s="144">
        <f t="shared" si="37"/>
        <v>-1</v>
      </c>
      <c r="BI26" s="146">
        <f t="shared" si="38"/>
        <v>0</v>
      </c>
      <c r="BJ26" s="146">
        <f t="shared" si="39"/>
        <v>-6.6666666666606034E-3</v>
      </c>
      <c r="BK26" s="146">
        <f t="shared" si="40"/>
        <v>-3.9999999999963624E-3</v>
      </c>
      <c r="BL26" s="164">
        <f t="shared" si="36"/>
        <v>-3.9999999999963624E-3</v>
      </c>
      <c r="BM26" s="157">
        <f t="shared" si="41"/>
        <v>7.0359999999999996</v>
      </c>
      <c r="BN26">
        <f t="shared" si="28"/>
        <v>2</v>
      </c>
    </row>
    <row r="27" spans="1:66" ht="15.95" customHeight="1" x14ac:dyDescent="0.25">
      <c r="A27" s="83"/>
      <c r="B27" s="84">
        <f>IF($I27&lt;&gt;"",IF(WEEKDAY($I27,2)&lt;6,IF(VLOOKUP(WEEKDAY($I27,2),InputUge,3)&gt;0,IF($A27="",VLOOKUP(WEEKDAY($I27,2),InputUge,3)+MAX(B$8:B26),IF($A27&lt;VLOOKUP(WEEKDAY($I27,2),InputUge,3),$A27+MAX(B$8:B26),VLOOKUP(WEEKDAY($I27,2),InputUge,3)+MAX(B$8:B26))),""),""),"")</f>
        <v>88.143333333333317</v>
      </c>
      <c r="C27" s="144">
        <f t="shared" ref="C27:C34" si="42">IF(B27&lt;0,-1,1)</f>
        <v>1</v>
      </c>
      <c r="D27" s="146">
        <f t="shared" si="34"/>
        <v>88</v>
      </c>
      <c r="E27" s="146">
        <f t="shared" si="35"/>
        <v>0.14333333333331666</v>
      </c>
      <c r="F27" s="146">
        <f t="shared" ref="F27:F34" si="43">+E27/100*60</f>
        <v>8.5999999999990001E-2</v>
      </c>
      <c r="G27" s="261">
        <f t="shared" si="16"/>
        <v>88.085999999999984</v>
      </c>
      <c r="H27" s="4">
        <v>19</v>
      </c>
      <c r="I27" s="16">
        <f t="shared" si="10"/>
        <v>41444</v>
      </c>
      <c r="J27" s="6">
        <v>0.34791666666666665</v>
      </c>
      <c r="K27" s="6">
        <v>0.64236111111111105</v>
      </c>
      <c r="L27" s="5">
        <f>IF(K27&gt;0,ROUND(((K27-J27)*24)-SUM(BR27:BS27)+BT27,2)+IF(Fredagsfrokost="n",IF(WEEKDAY($I27,2)=5,IF(K27&gt;=0.5,IF(K27&lt;=13/24,0,0),0),0),0),IF(AW27&gt;0,AW27,""))</f>
        <v>7.07</v>
      </c>
      <c r="M27" s="141">
        <f>FLOOR(L27,1)</f>
        <v>7</v>
      </c>
      <c r="N27" s="141">
        <f>+L27-M27</f>
        <v>7.0000000000000284E-2</v>
      </c>
      <c r="O27" s="141">
        <f>+N27/100*60</f>
        <v>4.2000000000000169E-2</v>
      </c>
      <c r="P27" s="162">
        <f>IF(J27="","",O27+M27)</f>
        <v>7.0419999999999998</v>
      </c>
      <c r="Q27" s="572"/>
      <c r="R27" s="573"/>
      <c r="S27" s="573"/>
      <c r="T27" s="574"/>
      <c r="U27" s="442"/>
      <c r="V27" s="241">
        <f t="shared" si="0"/>
        <v>0</v>
      </c>
      <c r="W27" s="241">
        <f t="shared" si="17"/>
        <v>0</v>
      </c>
      <c r="X27" s="241">
        <f t="shared" si="1"/>
        <v>0</v>
      </c>
      <c r="Y27" s="443">
        <f t="shared" si="18"/>
        <v>0</v>
      </c>
      <c r="Z27" s="442"/>
      <c r="AA27" s="442"/>
      <c r="AB27" s="442"/>
      <c r="AC27" s="442"/>
      <c r="AD27" s="442"/>
      <c r="AE27" s="241">
        <f t="shared" si="2"/>
        <v>0</v>
      </c>
      <c r="AF27" s="241">
        <f t="shared" si="19"/>
        <v>0</v>
      </c>
      <c r="AG27" s="241">
        <f t="shared" si="3"/>
        <v>0</v>
      </c>
      <c r="AH27" s="443">
        <f t="shared" si="20"/>
        <v>0</v>
      </c>
      <c r="AI27" s="444"/>
      <c r="AJ27" s="444"/>
      <c r="AK27" s="444"/>
      <c r="AL27" s="445"/>
      <c r="AM27" s="476"/>
      <c r="AN27" s="241">
        <f t="shared" si="4"/>
        <v>0</v>
      </c>
      <c r="AO27" s="241">
        <f t="shared" si="5"/>
        <v>0</v>
      </c>
      <c r="AP27" s="241">
        <f t="shared" si="6"/>
        <v>0</v>
      </c>
      <c r="AQ27" s="443">
        <f t="shared" si="15"/>
        <v>0</v>
      </c>
      <c r="AR27" s="444"/>
      <c r="AS27" s="444"/>
      <c r="AT27" s="444"/>
      <c r="AU27" s="445"/>
      <c r="AZ27" s="189"/>
      <c r="BA27" s="189"/>
      <c r="BB27" s="189"/>
      <c r="BC27" s="189"/>
      <c r="BD27" s="189"/>
      <c r="BE27" s="189"/>
      <c r="BG27" s="145">
        <f>IF($K27&gt;=0,+SUM(L$9:$L27)-$B27+Jun!$AZ$40+SUM(AQ$9:$AQ27)," ")</f>
        <v>-3.3333333333303017E-3</v>
      </c>
      <c r="BH27" s="144">
        <f t="shared" si="37"/>
        <v>-1</v>
      </c>
      <c r="BI27" s="146">
        <f>FLOOR(BG27,BH27)</f>
        <v>0</v>
      </c>
      <c r="BJ27" s="146">
        <f>+BG27-BI27</f>
        <v>-3.3333333333303017E-3</v>
      </c>
      <c r="BK27" s="146">
        <f t="shared" si="40"/>
        <v>-1.9999999999981812E-3</v>
      </c>
      <c r="BL27" s="164">
        <f t="shared" si="36"/>
        <v>-1.9999999999981812E-3</v>
      </c>
      <c r="BM27" s="157">
        <f t="shared" si="41"/>
        <v>7.0419999999999998</v>
      </c>
      <c r="BN27">
        <f t="shared" si="28"/>
        <v>2</v>
      </c>
    </row>
    <row r="28" spans="1:66" ht="15.95" customHeight="1" x14ac:dyDescent="0.25">
      <c r="A28" s="83"/>
      <c r="B28" s="84">
        <f>IF($I28&lt;&gt;"",IF(WEEKDAY($I28,2)&lt;6,IF(VLOOKUP(WEEKDAY($I28,2),InputUge,3)&gt;0,IF($A28="",VLOOKUP(WEEKDAY($I28,2),InputUge,3)+MAX(B$8:B27),IF($A28&lt;VLOOKUP(WEEKDAY($I28,2),InputUge,3),$A28+MAX(B$8:B27),VLOOKUP(WEEKDAY($I28,2),InputUge,3)+MAX(B$8:B27))),""),""),"")</f>
        <v>97.553333333333313</v>
      </c>
      <c r="C28" s="144">
        <f t="shared" si="42"/>
        <v>1</v>
      </c>
      <c r="D28" s="146">
        <f t="shared" ref="D28:D33" si="44">FLOOR(B28,C28)</f>
        <v>97</v>
      </c>
      <c r="E28" s="146">
        <f t="shared" ref="E28:E33" si="45">+B28-D28</f>
        <v>0.55333333333331325</v>
      </c>
      <c r="F28" s="146">
        <f t="shared" si="43"/>
        <v>0.33199999999998797</v>
      </c>
      <c r="G28" s="261">
        <f t="shared" si="16"/>
        <v>97.331999999999994</v>
      </c>
      <c r="H28" s="4">
        <v>20</v>
      </c>
      <c r="I28" s="16">
        <f t="shared" si="10"/>
        <v>41445</v>
      </c>
      <c r="J28" s="6">
        <v>0.34791666666666665</v>
      </c>
      <c r="K28" s="6">
        <v>0.73987268518518512</v>
      </c>
      <c r="L28" s="5">
        <f>IF(K28&gt;0,ROUND(((K28-J28)*24)-SUM(BR28:BS28)+BT28,2)+IF(Fredagsfrokost="n",IF(WEEKDAY($I28,2)=5,IF(K28&gt;=0.5,IF(K28&lt;=13/24,0,0),0),0),0),IF(AW28&gt;0,AW28,""))</f>
        <v>9.41</v>
      </c>
      <c r="M28" s="141">
        <f>FLOOR(L28,1)</f>
        <v>9</v>
      </c>
      <c r="N28" s="141">
        <f>+L28-M28</f>
        <v>0.41000000000000014</v>
      </c>
      <c r="O28" s="141">
        <f>+N28/100*60</f>
        <v>0.24600000000000008</v>
      </c>
      <c r="P28" s="162">
        <f>IF(J28="","",O28+M28)</f>
        <v>9.2460000000000004</v>
      </c>
      <c r="Q28" s="572"/>
      <c r="R28" s="573"/>
      <c r="S28" s="573"/>
      <c r="T28" s="574"/>
      <c r="U28" s="442"/>
      <c r="V28" s="241">
        <f t="shared" si="0"/>
        <v>0</v>
      </c>
      <c r="W28" s="241">
        <f t="shared" si="17"/>
        <v>0</v>
      </c>
      <c r="X28" s="241">
        <f t="shared" si="1"/>
        <v>0</v>
      </c>
      <c r="Y28" s="443">
        <f t="shared" si="18"/>
        <v>0</v>
      </c>
      <c r="Z28" s="442"/>
      <c r="AA28" s="442"/>
      <c r="AB28" s="442"/>
      <c r="AC28" s="442"/>
      <c r="AD28" s="442"/>
      <c r="AE28" s="241">
        <f t="shared" si="2"/>
        <v>0</v>
      </c>
      <c r="AF28" s="241">
        <f t="shared" si="19"/>
        <v>0</v>
      </c>
      <c r="AG28" s="241">
        <f t="shared" si="3"/>
        <v>0</v>
      </c>
      <c r="AH28" s="443">
        <f t="shared" si="20"/>
        <v>0</v>
      </c>
      <c r="AI28" s="444"/>
      <c r="AJ28" s="444"/>
      <c r="AK28" s="444"/>
      <c r="AL28" s="445"/>
      <c r="AM28" s="476"/>
      <c r="AN28" s="241">
        <f t="shared" si="4"/>
        <v>0</v>
      </c>
      <c r="AO28" s="241">
        <f t="shared" si="5"/>
        <v>0</v>
      </c>
      <c r="AP28" s="241">
        <f t="shared" si="6"/>
        <v>0</v>
      </c>
      <c r="AQ28" s="443">
        <f t="shared" si="15"/>
        <v>0</v>
      </c>
      <c r="AR28" s="444"/>
      <c r="AS28" s="444"/>
      <c r="AT28" s="444"/>
      <c r="AU28" s="445"/>
      <c r="AZ28" s="189"/>
      <c r="BA28" s="189"/>
      <c r="BB28" s="189"/>
      <c r="BC28" s="189"/>
      <c r="BD28" s="189"/>
      <c r="BE28" s="189"/>
      <c r="BG28" s="145">
        <f>IF($K28&gt;=0,+SUM(L$9:$L28)-$B28+Jun!$AZ$40+SUM(AQ$9:$AQ28)," ")</f>
        <v>-3.3333333333303017E-3</v>
      </c>
      <c r="BH28" s="144">
        <f t="shared" si="37"/>
        <v>-1</v>
      </c>
      <c r="BI28" s="146">
        <f t="shared" si="38"/>
        <v>0</v>
      </c>
      <c r="BJ28" s="146">
        <f t="shared" si="39"/>
        <v>-3.3333333333303017E-3</v>
      </c>
      <c r="BK28" s="146">
        <f t="shared" si="40"/>
        <v>-1.9999999999981812E-3</v>
      </c>
      <c r="BL28" s="164">
        <f t="shared" si="36"/>
        <v>-1.9999999999981812E-3</v>
      </c>
      <c r="BM28" s="157">
        <f t="shared" si="41"/>
        <v>9.2460000000000004</v>
      </c>
      <c r="BN28">
        <f t="shared" si="28"/>
        <v>2</v>
      </c>
    </row>
    <row r="29" spans="1:66" ht="15.95" customHeight="1" x14ac:dyDescent="0.25">
      <c r="A29" s="83"/>
      <c r="B29" s="84">
        <f>IF($I29&lt;&gt;"",IF(WEEKDAY($I29,2)&lt;6,IF(VLOOKUP(WEEKDAY($I29,2),InputUge,3)&gt;0,IF($A29="",VLOOKUP(WEEKDAY($I29,2),InputUge,3)+MAX(B$8:B28),IF($A29&lt;VLOOKUP(WEEKDAY($I29,2),InputUge,3),$A29+MAX(B$8:B28),VLOOKUP(WEEKDAY($I29,2),InputUge,3)+MAX(B$8:B28))),""),""),"")</f>
        <v>103.95333333333332</v>
      </c>
      <c r="C29" s="144">
        <f t="shared" si="42"/>
        <v>1</v>
      </c>
      <c r="D29" s="146">
        <f t="shared" si="44"/>
        <v>103</v>
      </c>
      <c r="E29" s="146">
        <f t="shared" si="45"/>
        <v>0.95333333333331893</v>
      </c>
      <c r="F29" s="146">
        <f t="shared" si="43"/>
        <v>0.57199999999999129</v>
      </c>
      <c r="G29" s="261">
        <f t="shared" si="16"/>
        <v>103.57199999999999</v>
      </c>
      <c r="H29" s="4">
        <v>21</v>
      </c>
      <c r="I29" s="16">
        <f t="shared" si="10"/>
        <v>41446</v>
      </c>
      <c r="J29" s="6">
        <v>0.34791666666666665</v>
      </c>
      <c r="K29" s="6">
        <v>0.61458333333333337</v>
      </c>
      <c r="L29" s="5">
        <f>IF(K29&gt;0,ROUND(((K29-J29)*24)-SUM(BR29:BS29)+BT29,2)+IF(Fredagsfrokost="n",IF(WEEKDAY($I29,2)=5,IF(K29&gt;=0.5,IF(K29&lt;=13/24,0,0),0),0),0),IF(AW29&gt;0,AW29,""))</f>
        <v>6.4</v>
      </c>
      <c r="M29" s="141">
        <f>FLOOR(L29,1)</f>
        <v>6</v>
      </c>
      <c r="N29" s="141">
        <f>+L29-M29</f>
        <v>0.40000000000000036</v>
      </c>
      <c r="O29" s="141">
        <f>+N29/100*60</f>
        <v>0.24000000000000021</v>
      </c>
      <c r="P29" s="162">
        <f>IF(J29="","",O29+M29)</f>
        <v>6.24</v>
      </c>
      <c r="Q29" s="572"/>
      <c r="R29" s="573"/>
      <c r="S29" s="573"/>
      <c r="T29" s="574"/>
      <c r="U29" s="442"/>
      <c r="V29" s="241">
        <f t="shared" si="0"/>
        <v>0</v>
      </c>
      <c r="W29" s="241">
        <f t="shared" ref="W29:W38" si="46">+U29-V29</f>
        <v>0</v>
      </c>
      <c r="X29" s="241">
        <f t="shared" si="1"/>
        <v>0</v>
      </c>
      <c r="Y29" s="443">
        <f t="shared" ref="Y29:Y38" si="47">+X29+V29</f>
        <v>0</v>
      </c>
      <c r="Z29" s="442"/>
      <c r="AA29" s="442"/>
      <c r="AB29" s="442"/>
      <c r="AC29" s="442"/>
      <c r="AD29" s="442"/>
      <c r="AE29" s="241">
        <f t="shared" si="2"/>
        <v>0</v>
      </c>
      <c r="AF29" s="241">
        <f t="shared" si="19"/>
        <v>0</v>
      </c>
      <c r="AG29" s="241">
        <f t="shared" si="3"/>
        <v>0</v>
      </c>
      <c r="AH29" s="443">
        <f t="shared" si="20"/>
        <v>0</v>
      </c>
      <c r="AI29" s="444"/>
      <c r="AJ29" s="444"/>
      <c r="AK29" s="444"/>
      <c r="AL29" s="445"/>
      <c r="AM29" s="476"/>
      <c r="AN29" s="241">
        <f t="shared" si="4"/>
        <v>0</v>
      </c>
      <c r="AO29" s="241">
        <f t="shared" si="5"/>
        <v>0</v>
      </c>
      <c r="AP29" s="241">
        <f t="shared" si="6"/>
        <v>0</v>
      </c>
      <c r="AQ29" s="443">
        <f t="shared" si="15"/>
        <v>0</v>
      </c>
      <c r="AR29" s="444"/>
      <c r="AS29" s="444"/>
      <c r="AT29" s="444"/>
      <c r="AU29" s="445"/>
      <c r="AZ29" s="189"/>
      <c r="BA29" s="189"/>
      <c r="BB29" s="189"/>
      <c r="BC29" s="189"/>
      <c r="BD29" s="189"/>
      <c r="BE29" s="189"/>
      <c r="BG29" s="145">
        <f>IF($K29&gt;=0,+SUM(L$9:$L29)-$B29+Jun!$AZ$40+SUM(AQ$9:$AQ29)," ")</f>
        <v>-3.3333333333303017E-3</v>
      </c>
      <c r="BH29" s="144">
        <f t="shared" si="37"/>
        <v>-1</v>
      </c>
      <c r="BI29" s="146">
        <f t="shared" si="38"/>
        <v>0</v>
      </c>
      <c r="BJ29" s="146">
        <f t="shared" si="39"/>
        <v>-3.3333333333303017E-3</v>
      </c>
      <c r="BK29" s="146">
        <f t="shared" si="40"/>
        <v>-1.9999999999981812E-3</v>
      </c>
      <c r="BL29" s="164">
        <f t="shared" si="36"/>
        <v>-1.9999999999981812E-3</v>
      </c>
      <c r="BM29" s="157">
        <f t="shared" si="41"/>
        <v>6.24</v>
      </c>
      <c r="BN29">
        <f t="shared" si="28"/>
        <v>2</v>
      </c>
    </row>
    <row r="30" spans="1:66" ht="15.95" customHeight="1" x14ac:dyDescent="0.25">
      <c r="A30" s="83"/>
      <c r="B30" s="84" t="str">
        <f>IF($I30&lt;&gt;"",IF(WEEKDAY($I30,2)&lt;6,IF(VLOOKUP(WEEKDAY($I30,2),InputUge,3)&gt;0,IF($A30="",VLOOKUP(WEEKDAY($I30,2),InputUge,3)+MAX(B$8:B29),IF($A30&lt;VLOOKUP(WEEKDAY($I30,2),InputUge,3),$A30+MAX(B$8:B29),VLOOKUP(WEEKDAY($I30,2),InputUge,3)+MAX(B$8:B29))),""),""),"")</f>
        <v/>
      </c>
      <c r="C30" s="144">
        <f t="shared" si="42"/>
        <v>1</v>
      </c>
      <c r="D30" s="146" t="e">
        <f t="shared" si="44"/>
        <v>#VALUE!</v>
      </c>
      <c r="E30" s="146" t="e">
        <f t="shared" si="45"/>
        <v>#VALUE!</v>
      </c>
      <c r="F30" s="146" t="e">
        <f t="shared" si="43"/>
        <v>#VALUE!</v>
      </c>
      <c r="G30" s="261"/>
      <c r="H30" s="4">
        <v>22</v>
      </c>
      <c r="I30" s="16">
        <f t="shared" si="10"/>
        <v>41447</v>
      </c>
      <c r="J30" s="6"/>
      <c r="K30" s="6"/>
      <c r="L30" s="5"/>
      <c r="M30" s="141"/>
      <c r="N30" s="141"/>
      <c r="O30" s="141"/>
      <c r="P30" s="162"/>
      <c r="Q30" s="572"/>
      <c r="R30" s="573"/>
      <c r="S30" s="573"/>
      <c r="T30" s="574"/>
      <c r="U30" s="442"/>
      <c r="V30" s="241">
        <f t="shared" si="0"/>
        <v>0</v>
      </c>
      <c r="W30" s="241">
        <f t="shared" si="46"/>
        <v>0</v>
      </c>
      <c r="X30" s="241">
        <f t="shared" si="1"/>
        <v>0</v>
      </c>
      <c r="Y30" s="443">
        <f t="shared" si="47"/>
        <v>0</v>
      </c>
      <c r="Z30" s="442"/>
      <c r="AA30" s="442"/>
      <c r="AB30" s="442"/>
      <c r="AC30" s="442"/>
      <c r="AD30" s="442"/>
      <c r="AE30" s="241">
        <f t="shared" si="2"/>
        <v>0</v>
      </c>
      <c r="AF30" s="241">
        <f t="shared" ref="AF30:AF38" si="48">+AD30-AE30</f>
        <v>0</v>
      </c>
      <c r="AG30" s="241">
        <f t="shared" si="3"/>
        <v>0</v>
      </c>
      <c r="AH30" s="443">
        <f t="shared" ref="AH30:AH38" si="49">+AG30+AE30</f>
        <v>0</v>
      </c>
      <c r="AI30" s="444"/>
      <c r="AJ30" s="444"/>
      <c r="AK30" s="444"/>
      <c r="AL30" s="445"/>
      <c r="AM30" s="476"/>
      <c r="AN30" s="241">
        <f t="shared" si="4"/>
        <v>0</v>
      </c>
      <c r="AO30" s="241">
        <f t="shared" si="5"/>
        <v>0</v>
      </c>
      <c r="AP30" s="241">
        <f t="shared" si="6"/>
        <v>0</v>
      </c>
      <c r="AQ30" s="443">
        <f t="shared" si="15"/>
        <v>0</v>
      </c>
      <c r="AR30" s="444"/>
      <c r="AS30" s="444"/>
      <c r="AT30" s="444"/>
      <c r="AU30" s="445"/>
      <c r="AZ30" s="189"/>
      <c r="BA30" s="189"/>
      <c r="BB30" s="189"/>
      <c r="BC30" s="189"/>
      <c r="BD30" s="189"/>
      <c r="BE30" s="189"/>
      <c r="BG30" s="145" t="e">
        <f>IF($K30&gt;=0,+SUM(L$9:$L30)-$B30+Jun!$AZ$40+SUM(AQ$9:$AQ30)," ")</f>
        <v>#VALUE!</v>
      </c>
      <c r="BH30" s="144" t="e">
        <f t="shared" si="37"/>
        <v>#VALUE!</v>
      </c>
      <c r="BI30" s="146" t="e">
        <f t="shared" ref="BI30:BI38" si="50">FLOOR(BG30,BH30)</f>
        <v>#VALUE!</v>
      </c>
      <c r="BJ30" s="146" t="e">
        <f t="shared" ref="BJ30:BJ38" si="51">+BG30-BI30</f>
        <v>#VALUE!</v>
      </c>
      <c r="BK30" s="146" t="e">
        <f t="shared" si="40"/>
        <v>#VALUE!</v>
      </c>
      <c r="BL30" s="164"/>
      <c r="BM30" s="157">
        <f t="shared" si="31"/>
        <v>0</v>
      </c>
      <c r="BN30">
        <f t="shared" si="28"/>
        <v>2</v>
      </c>
    </row>
    <row r="31" spans="1:66" ht="15.95" customHeight="1" x14ac:dyDescent="0.25">
      <c r="A31" s="83"/>
      <c r="B31" s="84" t="str">
        <f>IF($I31&lt;&gt;"",IF(WEEKDAY($I31,2)&lt;6,IF(VLOOKUP(WEEKDAY($I31,2),InputUge,3)&gt;0,IF($A31="",VLOOKUP(WEEKDAY($I31,2),InputUge,3)+MAX(B$8:B30),IF($A31&lt;VLOOKUP(WEEKDAY($I31,2),InputUge,3),$A31+MAX(B$8:B30),VLOOKUP(WEEKDAY($I31,2),InputUge,3)+MAX(B$8:B30))),""),""),"")</f>
        <v/>
      </c>
      <c r="C31" s="144">
        <f t="shared" si="42"/>
        <v>1</v>
      </c>
      <c r="D31" s="146" t="e">
        <f t="shared" si="44"/>
        <v>#VALUE!</v>
      </c>
      <c r="E31" s="146" t="e">
        <f t="shared" si="45"/>
        <v>#VALUE!</v>
      </c>
      <c r="F31" s="146" t="e">
        <f t="shared" si="43"/>
        <v>#VALUE!</v>
      </c>
      <c r="G31" s="261"/>
      <c r="H31" s="4">
        <v>23</v>
      </c>
      <c r="I31" s="16">
        <f t="shared" si="10"/>
        <v>41448</v>
      </c>
      <c r="J31" s="6"/>
      <c r="K31" s="6"/>
      <c r="L31" s="5"/>
      <c r="M31" s="141"/>
      <c r="N31" s="141"/>
      <c r="O31" s="141"/>
      <c r="P31" s="141"/>
      <c r="Q31" s="572"/>
      <c r="R31" s="573"/>
      <c r="S31" s="573"/>
      <c r="T31" s="574"/>
      <c r="U31" s="442"/>
      <c r="V31" s="241">
        <f t="shared" si="0"/>
        <v>0</v>
      </c>
      <c r="W31" s="241">
        <f t="shared" si="46"/>
        <v>0</v>
      </c>
      <c r="X31" s="241">
        <f t="shared" si="1"/>
        <v>0</v>
      </c>
      <c r="Y31" s="443">
        <f t="shared" si="47"/>
        <v>0</v>
      </c>
      <c r="Z31" s="442"/>
      <c r="AA31" s="442"/>
      <c r="AB31" s="442"/>
      <c r="AC31" s="442"/>
      <c r="AD31" s="442"/>
      <c r="AE31" s="241">
        <f t="shared" si="2"/>
        <v>0</v>
      </c>
      <c r="AF31" s="241">
        <f t="shared" si="48"/>
        <v>0</v>
      </c>
      <c r="AG31" s="241">
        <f t="shared" si="3"/>
        <v>0</v>
      </c>
      <c r="AH31" s="443">
        <f t="shared" si="49"/>
        <v>0</v>
      </c>
      <c r="AI31" s="444"/>
      <c r="AJ31" s="444"/>
      <c r="AK31" s="444"/>
      <c r="AL31" s="445"/>
      <c r="AM31" s="476"/>
      <c r="AN31" s="241">
        <f t="shared" si="4"/>
        <v>0</v>
      </c>
      <c r="AO31" s="241">
        <f t="shared" si="5"/>
        <v>0</v>
      </c>
      <c r="AP31" s="241">
        <f t="shared" si="6"/>
        <v>0</v>
      </c>
      <c r="AQ31" s="443">
        <f t="shared" si="15"/>
        <v>0</v>
      </c>
      <c r="AR31" s="444"/>
      <c r="AS31" s="444"/>
      <c r="AT31" s="444"/>
      <c r="AU31" s="445"/>
      <c r="AZ31" s="189"/>
      <c r="BA31" s="189"/>
      <c r="BB31" s="189"/>
      <c r="BC31" s="189"/>
      <c r="BD31" s="189"/>
      <c r="BE31" s="189"/>
      <c r="BG31" s="145" t="e">
        <f>IF($K31&gt;=0,+SUM(L$9:$L31)-$B31+Jun!$AZ$40+SUM(AQ$9:$AQ31)," ")</f>
        <v>#VALUE!</v>
      </c>
      <c r="BH31" s="144" t="e">
        <f t="shared" ref="BH31:BH36" si="52">IF(BG31&lt;0,-1,1)</f>
        <v>#VALUE!</v>
      </c>
      <c r="BI31" s="146" t="e">
        <f t="shared" si="50"/>
        <v>#VALUE!</v>
      </c>
      <c r="BJ31" s="146" t="e">
        <f t="shared" si="51"/>
        <v>#VALUE!</v>
      </c>
      <c r="BK31" s="146" t="e">
        <f t="shared" ref="BK31:BK36" si="53">+BJ31/100*60</f>
        <v>#VALUE!</v>
      </c>
      <c r="BL31" s="164"/>
      <c r="BM31" s="157">
        <f t="shared" si="31"/>
        <v>0</v>
      </c>
      <c r="BN31">
        <f t="shared" si="28"/>
        <v>2</v>
      </c>
    </row>
    <row r="32" spans="1:66" ht="15.95" customHeight="1" x14ac:dyDescent="0.25">
      <c r="A32" s="83"/>
      <c r="B32" s="84">
        <f>IF($I32&lt;&gt;"",IF(WEEKDAY($I32,2)&lt;6,IF(VLOOKUP(WEEKDAY($I32,2),InputUge,3)&gt;0,IF($A32="",VLOOKUP(WEEKDAY($I32,2),InputUge,3)+MAX(B$8:B31),IF($A32&lt;VLOOKUP(WEEKDAY($I32,2),InputUge,3),$A32+MAX(B$8:B31),VLOOKUP(WEEKDAY($I32,2),InputUge,3)+MAX(B$8:B31))),""),""),"")</f>
        <v>111.01666666666665</v>
      </c>
      <c r="C32" s="144">
        <f t="shared" si="42"/>
        <v>1</v>
      </c>
      <c r="D32" s="146">
        <f t="shared" si="44"/>
        <v>111</v>
      </c>
      <c r="E32" s="146">
        <f t="shared" si="45"/>
        <v>1.6666666666651508E-2</v>
      </c>
      <c r="F32" s="146">
        <f t="shared" si="43"/>
        <v>9.9999999999909051E-3</v>
      </c>
      <c r="G32" s="261">
        <f t="shared" si="16"/>
        <v>111.00999999999999</v>
      </c>
      <c r="H32" s="4">
        <v>24</v>
      </c>
      <c r="I32" s="16">
        <f t="shared" si="10"/>
        <v>41449</v>
      </c>
      <c r="J32" s="6">
        <v>0.34826388888888887</v>
      </c>
      <c r="K32" s="6">
        <v>0.64265046296296291</v>
      </c>
      <c r="L32" s="5">
        <f>IF(K32&gt;0,ROUND(((K32-J32)*24)-SUM(BR32:BS32)+BT32,2)+IF(Fredagsfrokost="n",IF(WEEKDAY($I32,2)=5,IF(K32&gt;=0.5,IF(K32&lt;=13/24,0,0),0),0),0),IF(AW32&gt;0,AW32,""))</f>
        <v>7.07</v>
      </c>
      <c r="M32" s="141">
        <f>FLOOR(L32,1)</f>
        <v>7</v>
      </c>
      <c r="N32" s="141">
        <f>+L32-M32</f>
        <v>7.0000000000000284E-2</v>
      </c>
      <c r="O32" s="141">
        <f>+N32/100*60</f>
        <v>4.2000000000000169E-2</v>
      </c>
      <c r="P32" s="162">
        <f>IF(J32="","",O32+M32)</f>
        <v>7.0419999999999998</v>
      </c>
      <c r="Q32" s="572"/>
      <c r="R32" s="573"/>
      <c r="S32" s="573"/>
      <c r="T32" s="574"/>
      <c r="U32" s="442"/>
      <c r="V32" s="241">
        <f t="shared" si="0"/>
        <v>0</v>
      </c>
      <c r="W32" s="241">
        <f t="shared" si="46"/>
        <v>0</v>
      </c>
      <c r="X32" s="241">
        <f t="shared" si="1"/>
        <v>0</v>
      </c>
      <c r="Y32" s="443">
        <f t="shared" si="47"/>
        <v>0</v>
      </c>
      <c r="Z32" s="442"/>
      <c r="AA32" s="442"/>
      <c r="AB32" s="442"/>
      <c r="AC32" s="442"/>
      <c r="AD32" s="442"/>
      <c r="AE32" s="241">
        <f t="shared" si="2"/>
        <v>0</v>
      </c>
      <c r="AF32" s="241">
        <f t="shared" si="48"/>
        <v>0</v>
      </c>
      <c r="AG32" s="241">
        <f t="shared" si="3"/>
        <v>0</v>
      </c>
      <c r="AH32" s="443">
        <f t="shared" si="49"/>
        <v>0</v>
      </c>
      <c r="AI32" s="444"/>
      <c r="AJ32" s="444"/>
      <c r="AK32" s="444"/>
      <c r="AL32" s="445"/>
      <c r="AM32" s="476"/>
      <c r="AN32" s="241">
        <f t="shared" si="4"/>
        <v>0</v>
      </c>
      <c r="AO32" s="241">
        <f t="shared" si="5"/>
        <v>0</v>
      </c>
      <c r="AP32" s="241">
        <f t="shared" si="6"/>
        <v>0</v>
      </c>
      <c r="AQ32" s="443">
        <f t="shared" si="15"/>
        <v>0</v>
      </c>
      <c r="AR32" s="444"/>
      <c r="AS32" s="444"/>
      <c r="AT32" s="444"/>
      <c r="AU32" s="445"/>
      <c r="AZ32" s="189"/>
      <c r="BA32" s="189"/>
      <c r="BB32" s="189"/>
      <c r="BC32" s="189"/>
      <c r="BD32" s="189"/>
      <c r="BE32" s="189"/>
      <c r="BG32" s="145">
        <f>IF($K32&gt;=0,+SUM(L$9:$L32)-$B32+Jun!$AZ$40+SUM(AQ$9:$AQ32)," ")</f>
        <v>3.3333333333303017E-3</v>
      </c>
      <c r="BH32" s="144">
        <f t="shared" si="52"/>
        <v>1</v>
      </c>
      <c r="BI32" s="146">
        <f t="shared" si="50"/>
        <v>0</v>
      </c>
      <c r="BJ32" s="146">
        <f t="shared" si="51"/>
        <v>3.3333333333303017E-3</v>
      </c>
      <c r="BK32" s="146">
        <f t="shared" si="53"/>
        <v>1.9999999999981812E-3</v>
      </c>
      <c r="BL32" s="164">
        <f t="shared" si="36"/>
        <v>1.9999999999981812E-3</v>
      </c>
      <c r="BM32" s="157">
        <f t="shared" si="31"/>
        <v>7.0419999999999998</v>
      </c>
      <c r="BN32">
        <f t="shared" si="28"/>
        <v>2</v>
      </c>
    </row>
    <row r="33" spans="1:67" ht="15.95" customHeight="1" x14ac:dyDescent="0.25">
      <c r="A33" s="83"/>
      <c r="B33" s="84">
        <f>IF($I33&lt;&gt;"",IF(WEEKDAY($I33,2)&lt;6,IF(VLOOKUP(WEEKDAY($I33,2),InputUge,3)&gt;0,IF($A33="",VLOOKUP(WEEKDAY($I33,2),InputUge,3)+MAX(B$8:B32),IF($A33&lt;VLOOKUP(WEEKDAY($I33,2),InputUge,3),$A33+MAX(B$8:B32),VLOOKUP(WEEKDAY($I33,2),InputUge,3)+MAX(B$8:B32))),""),""),"")</f>
        <v>118.08333333333331</v>
      </c>
      <c r="C33" s="144">
        <f t="shared" si="42"/>
        <v>1</v>
      </c>
      <c r="D33" s="146">
        <f t="shared" si="44"/>
        <v>118</v>
      </c>
      <c r="E33" s="146">
        <f t="shared" si="45"/>
        <v>8.3333333333314386E-2</v>
      </c>
      <c r="F33" s="146">
        <f t="shared" si="43"/>
        <v>4.999999999998863E-2</v>
      </c>
      <c r="G33" s="261">
        <f t="shared" si="16"/>
        <v>118.04999999999998</v>
      </c>
      <c r="H33" s="4">
        <v>25</v>
      </c>
      <c r="I33" s="16">
        <f t="shared" si="10"/>
        <v>41450</v>
      </c>
      <c r="J33" s="6">
        <v>0.34826388888888887</v>
      </c>
      <c r="K33" s="6">
        <v>0.64236111111111105</v>
      </c>
      <c r="L33" s="5">
        <f>IF(K33&gt;0,ROUND(((K33-J33)*24)-SUM(BR33:BS33)+BT33,2)+IF(Fredagsfrokost="n",IF(WEEKDAY($I33,2)=5,IF(K33&gt;=0.5,IF(K33&lt;=13/24,0,0),0),0),0),IF(AW33&gt;0,AW33,""))</f>
        <v>7.06</v>
      </c>
      <c r="M33" s="141">
        <f>FLOOR(L33,1)</f>
        <v>7</v>
      </c>
      <c r="N33" s="141">
        <f>+L33-M33</f>
        <v>5.9999999999999609E-2</v>
      </c>
      <c r="O33" s="141">
        <f>+N33/100*60</f>
        <v>3.5999999999999761E-2</v>
      </c>
      <c r="P33" s="162">
        <f>IF(J33="","",O33+M33)</f>
        <v>7.0359999999999996</v>
      </c>
      <c r="Q33" s="572"/>
      <c r="R33" s="573"/>
      <c r="S33" s="573"/>
      <c r="T33" s="574"/>
      <c r="U33" s="442"/>
      <c r="V33" s="241">
        <f t="shared" si="0"/>
        <v>0</v>
      </c>
      <c r="W33" s="241">
        <f t="shared" si="46"/>
        <v>0</v>
      </c>
      <c r="X33" s="241">
        <f t="shared" si="1"/>
        <v>0</v>
      </c>
      <c r="Y33" s="443">
        <f t="shared" si="47"/>
        <v>0</v>
      </c>
      <c r="Z33" s="442"/>
      <c r="AA33" s="442"/>
      <c r="AB33" s="442"/>
      <c r="AC33" s="442"/>
      <c r="AD33" s="442"/>
      <c r="AE33" s="241">
        <f t="shared" si="2"/>
        <v>0</v>
      </c>
      <c r="AF33" s="241">
        <f t="shared" si="48"/>
        <v>0</v>
      </c>
      <c r="AG33" s="241">
        <f t="shared" si="3"/>
        <v>0</v>
      </c>
      <c r="AH33" s="443">
        <f t="shared" si="49"/>
        <v>0</v>
      </c>
      <c r="AI33" s="444"/>
      <c r="AJ33" s="444"/>
      <c r="AK33" s="444"/>
      <c r="AL33" s="445"/>
      <c r="AM33" s="476"/>
      <c r="AN33" s="241">
        <f t="shared" si="4"/>
        <v>0</v>
      </c>
      <c r="AO33" s="241">
        <f t="shared" si="5"/>
        <v>0</v>
      </c>
      <c r="AP33" s="241">
        <f t="shared" si="6"/>
        <v>0</v>
      </c>
      <c r="AQ33" s="443">
        <f t="shared" si="15"/>
        <v>0</v>
      </c>
      <c r="AR33" s="444"/>
      <c r="AS33" s="444"/>
      <c r="AT33" s="444"/>
      <c r="AU33" s="445"/>
      <c r="AZ33" s="189"/>
      <c r="BA33" s="189"/>
      <c r="BB33" s="189"/>
      <c r="BC33" s="189"/>
      <c r="BD33" s="189"/>
      <c r="BE33" s="189"/>
      <c r="BG33" s="145">
        <f>IF($K33&gt;=0,+SUM(L$9:$L33)-$B33+Jun!$AZ$40+SUM(AQ$9:$AQ33)," ")</f>
        <v>-3.3333333333303017E-3</v>
      </c>
      <c r="BH33" s="144">
        <f t="shared" si="52"/>
        <v>-1</v>
      </c>
      <c r="BI33" s="146">
        <f t="shared" si="50"/>
        <v>0</v>
      </c>
      <c r="BJ33" s="146">
        <f t="shared" si="51"/>
        <v>-3.3333333333303017E-3</v>
      </c>
      <c r="BK33" s="146">
        <f t="shared" si="53"/>
        <v>-1.9999999999981812E-3</v>
      </c>
      <c r="BL33" s="164">
        <f t="shared" si="36"/>
        <v>-1.9999999999981812E-3</v>
      </c>
      <c r="BM33" s="157">
        <f t="shared" si="31"/>
        <v>7.0359999999999996</v>
      </c>
      <c r="BN33">
        <f t="shared" si="28"/>
        <v>2</v>
      </c>
    </row>
    <row r="34" spans="1:67" ht="15.95" customHeight="1" x14ac:dyDescent="0.25">
      <c r="A34" s="83"/>
      <c r="B34" s="84">
        <f>IF($I34&lt;&gt;"",IF(WEEKDAY($I34,2)&lt;6,IF(VLOOKUP(WEEKDAY($I34,2),InputUge,3)&gt;0,IF($A34="",VLOOKUP(WEEKDAY($I34,2),InputUge,3)+MAX(B$8:B33),IF($A34&lt;VLOOKUP(WEEKDAY($I34,2),InputUge,3),$A34+MAX(B$8:B33),VLOOKUP(WEEKDAY($I34,2),InputUge,3)+MAX(B$8:B33))),""),""),"")</f>
        <v>125.14999999999998</v>
      </c>
      <c r="C34" s="144">
        <f t="shared" si="42"/>
        <v>1</v>
      </c>
      <c r="D34" s="146">
        <f>FLOOR(B34,C34)</f>
        <v>125</v>
      </c>
      <c r="E34" s="146">
        <f>+B34-D34</f>
        <v>0.14999999999997726</v>
      </c>
      <c r="F34" s="146">
        <f t="shared" si="43"/>
        <v>8.9999999999986355E-2</v>
      </c>
      <c r="G34" s="261">
        <f t="shared" si="16"/>
        <v>125.08999999999999</v>
      </c>
      <c r="H34" s="4">
        <v>26</v>
      </c>
      <c r="I34" s="16">
        <f t="shared" si="10"/>
        <v>41451</v>
      </c>
      <c r="J34" s="6">
        <v>0.34791666666666665</v>
      </c>
      <c r="K34" s="6">
        <v>0.64236111111111105</v>
      </c>
      <c r="L34" s="5">
        <f>IF(K34&gt;0,ROUND(((K34-J34)*24)-SUM(BR34:BS34)+BT34,2)+IF(Fredagsfrokost="n",IF(WEEKDAY($I34,2)=5,IF(K34&gt;=0.5,IF(K34&lt;=13/24,0,0),0),0),0),IF(AW34&gt;0,AW34,""))</f>
        <v>7.07</v>
      </c>
      <c r="M34" s="141">
        <f>FLOOR(L34,1)</f>
        <v>7</v>
      </c>
      <c r="N34" s="141">
        <f>+L34-M34</f>
        <v>7.0000000000000284E-2</v>
      </c>
      <c r="O34" s="141">
        <f>+N34/100*60</f>
        <v>4.2000000000000169E-2</v>
      </c>
      <c r="P34" s="162">
        <f>IF(J34="","",O34+M34)</f>
        <v>7.0419999999999998</v>
      </c>
      <c r="Q34" s="572"/>
      <c r="R34" s="573"/>
      <c r="S34" s="573"/>
      <c r="T34" s="574"/>
      <c r="U34" s="442"/>
      <c r="V34" s="241">
        <f t="shared" si="0"/>
        <v>0</v>
      </c>
      <c r="W34" s="241">
        <f t="shared" si="46"/>
        <v>0</v>
      </c>
      <c r="X34" s="241">
        <f t="shared" si="1"/>
        <v>0</v>
      </c>
      <c r="Y34" s="443">
        <f t="shared" si="47"/>
        <v>0</v>
      </c>
      <c r="Z34" s="442"/>
      <c r="AA34" s="442"/>
      <c r="AB34" s="442"/>
      <c r="AC34" s="442"/>
      <c r="AD34" s="442"/>
      <c r="AE34" s="241">
        <f t="shared" si="2"/>
        <v>0</v>
      </c>
      <c r="AF34" s="241">
        <f t="shared" si="48"/>
        <v>0</v>
      </c>
      <c r="AG34" s="241">
        <f t="shared" si="3"/>
        <v>0</v>
      </c>
      <c r="AH34" s="443">
        <f t="shared" si="49"/>
        <v>0</v>
      </c>
      <c r="AI34" s="444"/>
      <c r="AJ34" s="444"/>
      <c r="AK34" s="444"/>
      <c r="AL34" s="445"/>
      <c r="AM34" s="476"/>
      <c r="AN34" s="241">
        <f t="shared" si="4"/>
        <v>0</v>
      </c>
      <c r="AO34" s="241">
        <f t="shared" si="5"/>
        <v>0</v>
      </c>
      <c r="AP34" s="241">
        <f t="shared" si="6"/>
        <v>0</v>
      </c>
      <c r="AQ34" s="443">
        <f t="shared" si="15"/>
        <v>0</v>
      </c>
      <c r="AR34" s="444"/>
      <c r="AS34" s="444"/>
      <c r="AT34" s="444"/>
      <c r="AU34" s="445"/>
      <c r="AZ34" s="189"/>
      <c r="BA34" s="189"/>
      <c r="BB34" s="189"/>
      <c r="BC34" s="189"/>
      <c r="BD34" s="189"/>
      <c r="BE34" s="189"/>
      <c r="BG34" s="145">
        <f>IF($K34&gt;=0,+SUM(L$9:$L34)-$B34+Jun!$AZ$40+SUM(AQ$9:$AQ34)," ")</f>
        <v>0</v>
      </c>
      <c r="BH34" s="144">
        <f t="shared" si="52"/>
        <v>1</v>
      </c>
      <c r="BI34" s="146">
        <f>FLOOR(BG34,BH34)</f>
        <v>0</v>
      </c>
      <c r="BJ34" s="146">
        <f>+BG34-BI34</f>
        <v>0</v>
      </c>
      <c r="BK34" s="146">
        <f t="shared" si="53"/>
        <v>0</v>
      </c>
      <c r="BL34" s="164">
        <f>IF(BN34=2,+BK34+BI34,"")</f>
        <v>0</v>
      </c>
      <c r="BM34" s="157">
        <f t="shared" si="31"/>
        <v>7.0419999999999998</v>
      </c>
      <c r="BN34">
        <f t="shared" si="28"/>
        <v>2</v>
      </c>
    </row>
    <row r="35" spans="1:67" ht="15.95" customHeight="1" x14ac:dyDescent="0.25">
      <c r="A35" s="83"/>
      <c r="B35" s="84">
        <f>IF($I35&lt;&gt;"",IF(WEEKDAY($I35,2)&lt;6,IF(VLOOKUP(WEEKDAY($I35,2),InputUge,3)&gt;0,IF($A35="",VLOOKUP(WEEKDAY($I35,2),InputUge,3)+MAX(B$8:B34),IF($A35&lt;VLOOKUP(WEEKDAY($I35,2),InputUge,3),$A35+MAX(B$8:B34),VLOOKUP(WEEKDAY($I35,2),InputUge,3)+MAX(B$8:B34))),""),""),"")</f>
        <v>134.55999999999997</v>
      </c>
      <c r="C35" s="144">
        <f>IF(B35&lt;0,-1,1)</f>
        <v>1</v>
      </c>
      <c r="D35" s="146">
        <f>FLOOR(B35,C35)</f>
        <v>134</v>
      </c>
      <c r="E35" s="146">
        <f>+B35-D35</f>
        <v>0.55999999999997385</v>
      </c>
      <c r="F35" s="146">
        <f>+E35/100*60</f>
        <v>0.33599999999998431</v>
      </c>
      <c r="G35" s="261">
        <f t="shared" si="16"/>
        <v>134.33599999999998</v>
      </c>
      <c r="H35" s="4">
        <v>27</v>
      </c>
      <c r="I35" s="16">
        <f t="shared" si="10"/>
        <v>41452</v>
      </c>
      <c r="J35" s="6">
        <v>0.34791666666666665</v>
      </c>
      <c r="K35" s="6">
        <v>0.73987268518518512</v>
      </c>
      <c r="L35" s="5">
        <f>IF(K35&gt;0,ROUND(((K35-J35)*24)-SUM(BR35:BS35)+BT35,2)+IF(Fredagsfrokost="n",IF(WEEKDAY($I35,2)=5,IF(K35&gt;=0.5,IF(K35&lt;=13/24,0,0),0),0),0),IF(AW35&gt;0,AW35,""))</f>
        <v>9.41</v>
      </c>
      <c r="M35" s="141">
        <f>FLOOR(L35,1)</f>
        <v>9</v>
      </c>
      <c r="N35" s="141">
        <f>+L35-M35</f>
        <v>0.41000000000000014</v>
      </c>
      <c r="O35" s="141">
        <f>+N35/100*60</f>
        <v>0.24600000000000008</v>
      </c>
      <c r="P35" s="162">
        <f>IF(J35="","",O35+M35)</f>
        <v>9.2460000000000004</v>
      </c>
      <c r="Q35" s="572"/>
      <c r="R35" s="573"/>
      <c r="S35" s="573"/>
      <c r="T35" s="574"/>
      <c r="U35" s="442"/>
      <c r="V35" s="241">
        <f t="shared" si="0"/>
        <v>0</v>
      </c>
      <c r="W35" s="241">
        <f t="shared" si="46"/>
        <v>0</v>
      </c>
      <c r="X35" s="241">
        <f t="shared" si="1"/>
        <v>0</v>
      </c>
      <c r="Y35" s="443">
        <f t="shared" si="47"/>
        <v>0</v>
      </c>
      <c r="Z35" s="442"/>
      <c r="AA35" s="442"/>
      <c r="AB35" s="442"/>
      <c r="AC35" s="442"/>
      <c r="AD35" s="442"/>
      <c r="AE35" s="241">
        <f t="shared" si="2"/>
        <v>0</v>
      </c>
      <c r="AF35" s="241">
        <f t="shared" si="48"/>
        <v>0</v>
      </c>
      <c r="AG35" s="241">
        <f t="shared" si="3"/>
        <v>0</v>
      </c>
      <c r="AH35" s="443">
        <f t="shared" si="49"/>
        <v>0</v>
      </c>
      <c r="AI35" s="444"/>
      <c r="AJ35" s="444"/>
      <c r="AK35" s="444"/>
      <c r="AL35" s="445"/>
      <c r="AM35" s="476"/>
      <c r="AN35" s="241">
        <f t="shared" si="4"/>
        <v>0</v>
      </c>
      <c r="AO35" s="241">
        <f t="shared" si="5"/>
        <v>0</v>
      </c>
      <c r="AP35" s="241">
        <f t="shared" si="6"/>
        <v>0</v>
      </c>
      <c r="AQ35" s="443">
        <f t="shared" si="15"/>
        <v>0</v>
      </c>
      <c r="AR35" s="444"/>
      <c r="AS35" s="444"/>
      <c r="AT35" s="444"/>
      <c r="AU35" s="445"/>
      <c r="AZ35" s="189"/>
      <c r="BA35" s="189"/>
      <c r="BB35" s="189"/>
      <c r="BC35" s="189"/>
      <c r="BD35" s="189"/>
      <c r="BE35" s="189"/>
      <c r="BG35" s="145">
        <f>IF($K35&gt;=0,+SUM(L$9:$L35)-$B35+Jun!$AZ$40+SUM(AQ$9:$AQ35)," ")</f>
        <v>0</v>
      </c>
      <c r="BH35" s="144">
        <f t="shared" si="52"/>
        <v>1</v>
      </c>
      <c r="BI35" s="146">
        <f t="shared" si="50"/>
        <v>0</v>
      </c>
      <c r="BJ35" s="146">
        <f t="shared" si="51"/>
        <v>0</v>
      </c>
      <c r="BK35" s="146">
        <f t="shared" si="53"/>
        <v>0</v>
      </c>
      <c r="BL35" s="164">
        <f>IF(BN35=2,+BK35+BI35,"")</f>
        <v>0</v>
      </c>
      <c r="BM35" s="157">
        <f t="shared" si="31"/>
        <v>9.2460000000000004</v>
      </c>
      <c r="BN35">
        <f t="shared" si="28"/>
        <v>2</v>
      </c>
    </row>
    <row r="36" spans="1:67" ht="15.95" customHeight="1" x14ac:dyDescent="0.25">
      <c r="A36" s="83"/>
      <c r="B36" s="84">
        <f>IF($I36&lt;&gt;"",IF(WEEKDAY($I36,2)&lt;6,IF(VLOOKUP(WEEKDAY($I36,2),InputUge,3)&gt;0,IF($A36="",VLOOKUP(WEEKDAY($I36,2),InputUge,3)+MAX(B$8:B35),IF($A36&lt;VLOOKUP(WEEKDAY($I36,2),InputUge,3),$A36+MAX(B$8:B35),VLOOKUP(WEEKDAY($I36,2),InputUge,3)+MAX(B$8:B35))),""),""),"")</f>
        <v>140.95999999999998</v>
      </c>
      <c r="C36" s="144">
        <f>IF(B36&lt;0,-1,1)</f>
        <v>1</v>
      </c>
      <c r="D36" s="146">
        <f>FLOOR(B36,C36)</f>
        <v>140</v>
      </c>
      <c r="E36" s="146">
        <f>+B36-D36</f>
        <v>0.95999999999997954</v>
      </c>
      <c r="F36" s="146">
        <f>+E36/100*60</f>
        <v>0.57599999999998774</v>
      </c>
      <c r="G36" s="261">
        <f t="shared" si="16"/>
        <v>140.57599999999999</v>
      </c>
      <c r="H36" s="4">
        <v>28</v>
      </c>
      <c r="I36" s="16">
        <f t="shared" si="10"/>
        <v>41453</v>
      </c>
      <c r="J36" s="6">
        <v>0.34791666666666665</v>
      </c>
      <c r="K36" s="6">
        <v>0.61458333333333337</v>
      </c>
      <c r="L36" s="5">
        <f>IF(K36&gt;0,ROUND(((K36-J36)*24)-SUM(BR36:BS36)+BT36,2)+IF(Fredagsfrokost="n",IF(WEEKDAY($I36,2)=5,IF(K36&gt;=0.5,IF(K36&lt;=13/24,0,0),0),0),0),IF(AW36&gt;0,AW36,""))</f>
        <v>6.4</v>
      </c>
      <c r="M36" s="141">
        <f>FLOOR(L36,1)</f>
        <v>6</v>
      </c>
      <c r="N36" s="141">
        <f>+L36-M36</f>
        <v>0.40000000000000036</v>
      </c>
      <c r="O36" s="141">
        <f>+N36/100*60</f>
        <v>0.24000000000000021</v>
      </c>
      <c r="P36" s="162">
        <f>IF(J36="","",O36+M36)</f>
        <v>6.24</v>
      </c>
      <c r="Q36" s="572"/>
      <c r="R36" s="573"/>
      <c r="S36" s="573"/>
      <c r="T36" s="574"/>
      <c r="U36" s="442"/>
      <c r="V36" s="241">
        <f t="shared" si="0"/>
        <v>0</v>
      </c>
      <c r="W36" s="241">
        <f t="shared" si="46"/>
        <v>0</v>
      </c>
      <c r="X36" s="241">
        <f t="shared" si="1"/>
        <v>0</v>
      </c>
      <c r="Y36" s="443">
        <f t="shared" si="47"/>
        <v>0</v>
      </c>
      <c r="Z36" s="442"/>
      <c r="AA36" s="442"/>
      <c r="AB36" s="442"/>
      <c r="AC36" s="442"/>
      <c r="AD36" s="442"/>
      <c r="AE36" s="241">
        <f t="shared" si="2"/>
        <v>0</v>
      </c>
      <c r="AF36" s="241">
        <f t="shared" si="48"/>
        <v>0</v>
      </c>
      <c r="AG36" s="241">
        <f t="shared" si="3"/>
        <v>0</v>
      </c>
      <c r="AH36" s="443">
        <f t="shared" si="49"/>
        <v>0</v>
      </c>
      <c r="AI36" s="444"/>
      <c r="AJ36" s="444"/>
      <c r="AK36" s="444"/>
      <c r="AL36" s="445"/>
      <c r="AM36" s="476"/>
      <c r="AN36" s="241">
        <f t="shared" si="4"/>
        <v>0</v>
      </c>
      <c r="AO36" s="241">
        <f t="shared" si="5"/>
        <v>0</v>
      </c>
      <c r="AP36" s="241">
        <f t="shared" si="6"/>
        <v>0</v>
      </c>
      <c r="AQ36" s="443">
        <f t="shared" si="15"/>
        <v>0</v>
      </c>
      <c r="AR36" s="444"/>
      <c r="AS36" s="444"/>
      <c r="AT36" s="444"/>
      <c r="AU36" s="445"/>
      <c r="AZ36" s="189"/>
      <c r="BA36" s="189"/>
      <c r="BB36" s="189"/>
      <c r="BC36" s="189"/>
      <c r="BD36" s="189"/>
      <c r="BE36" s="189"/>
      <c r="BG36" s="145">
        <f>IF($K36&gt;=0,+SUM(L$9:$L36)-$B36+Jun!$AZ$40+SUM(AQ$9:$AQ36)," ")</f>
        <v>0</v>
      </c>
      <c r="BH36" s="144">
        <f t="shared" si="52"/>
        <v>1</v>
      </c>
      <c r="BI36" s="146">
        <f t="shared" si="50"/>
        <v>0</v>
      </c>
      <c r="BJ36" s="146">
        <f t="shared" si="51"/>
        <v>0</v>
      </c>
      <c r="BK36" s="146">
        <f t="shared" si="53"/>
        <v>0</v>
      </c>
      <c r="BL36" s="164">
        <f>IF(BN36=2,+BK36+BI36,"")</f>
        <v>0</v>
      </c>
      <c r="BM36" s="157">
        <f t="shared" si="31"/>
        <v>6.24</v>
      </c>
      <c r="BN36">
        <f t="shared" si="28"/>
        <v>2</v>
      </c>
    </row>
    <row r="37" spans="1:67" ht="15.95" customHeight="1" x14ac:dyDescent="0.25">
      <c r="A37" s="83"/>
      <c r="B37" s="84" t="str">
        <f>IF($I37&lt;&gt;"",IF(WEEKDAY($I37,2)&lt;6,IF(VLOOKUP(WEEKDAY($I37,2),InputUge,3)&gt;0,IF($A37="",VLOOKUP(WEEKDAY($I37,2),InputUge,3)+MAX(B$8:B36),IF($A37&lt;VLOOKUP(WEEKDAY($I37,2),InputUge,3),$A37+MAX(B$8:B36),VLOOKUP(WEEKDAY($I37,2),InputUge,3)+MAX(B$8:B36))),""),""),"")</f>
        <v/>
      </c>
      <c r="C37" s="144">
        <f>IF(B37&lt;0,-1,1)</f>
        <v>1</v>
      </c>
      <c r="D37" s="146" t="e">
        <f>FLOOR(B37,C37)</f>
        <v>#VALUE!</v>
      </c>
      <c r="E37" s="146" t="e">
        <f>+B37-D37</f>
        <v>#VALUE!</v>
      </c>
      <c r="F37" s="146" t="e">
        <f>+E37/100*60</f>
        <v>#VALUE!</v>
      </c>
      <c r="G37" s="261"/>
      <c r="H37" s="4">
        <v>29</v>
      </c>
      <c r="I37" s="16">
        <f t="shared" si="10"/>
        <v>41454</v>
      </c>
      <c r="J37" s="6"/>
      <c r="K37" s="6"/>
      <c r="L37" s="5"/>
      <c r="M37" s="141"/>
      <c r="N37" s="141"/>
      <c r="O37" s="141"/>
      <c r="P37" s="162"/>
      <c r="Q37" s="572"/>
      <c r="R37" s="573"/>
      <c r="S37" s="573"/>
      <c r="T37" s="574"/>
      <c r="U37" s="442"/>
      <c r="V37" s="241">
        <f t="shared" si="0"/>
        <v>0</v>
      </c>
      <c r="W37" s="241">
        <f t="shared" si="46"/>
        <v>0</v>
      </c>
      <c r="X37" s="241">
        <f t="shared" si="1"/>
        <v>0</v>
      </c>
      <c r="Y37" s="443">
        <f t="shared" si="47"/>
        <v>0</v>
      </c>
      <c r="Z37" s="442"/>
      <c r="AA37" s="442"/>
      <c r="AB37" s="442"/>
      <c r="AC37" s="442"/>
      <c r="AD37" s="442"/>
      <c r="AE37" s="241">
        <f t="shared" si="2"/>
        <v>0</v>
      </c>
      <c r="AF37" s="241">
        <f t="shared" si="48"/>
        <v>0</v>
      </c>
      <c r="AG37" s="241">
        <f t="shared" si="3"/>
        <v>0</v>
      </c>
      <c r="AH37" s="443">
        <f t="shared" si="49"/>
        <v>0</v>
      </c>
      <c r="AI37" s="444"/>
      <c r="AJ37" s="444"/>
      <c r="AK37" s="444"/>
      <c r="AL37" s="445"/>
      <c r="AM37" s="476"/>
      <c r="AN37" s="241">
        <f t="shared" si="4"/>
        <v>0</v>
      </c>
      <c r="AO37" s="241">
        <f t="shared" si="5"/>
        <v>0</v>
      </c>
      <c r="AP37" s="241">
        <f t="shared" si="6"/>
        <v>0</v>
      </c>
      <c r="AQ37" s="443">
        <f t="shared" si="15"/>
        <v>0</v>
      </c>
      <c r="AR37" s="444"/>
      <c r="AS37" s="444"/>
      <c r="AT37" s="444"/>
      <c r="AU37" s="445"/>
      <c r="AZ37" s="189"/>
      <c r="BA37" s="189"/>
      <c r="BB37" s="189"/>
      <c r="BC37" s="189"/>
      <c r="BD37" s="189"/>
      <c r="BE37" s="189"/>
      <c r="BG37" s="145" t="e">
        <f>IF($K37&gt;=0,+SUM(L$9:$L37)-$B37+Jun!$AZ$40+SUM(AQ$9:$AQ37)," ")</f>
        <v>#VALUE!</v>
      </c>
      <c r="BH37" s="144" t="e">
        <f>IF(BG37&lt;0,-1,1)</f>
        <v>#VALUE!</v>
      </c>
      <c r="BI37" s="146" t="e">
        <f t="shared" si="50"/>
        <v>#VALUE!</v>
      </c>
      <c r="BJ37" s="146" t="e">
        <f t="shared" si="51"/>
        <v>#VALUE!</v>
      </c>
      <c r="BK37" s="146" t="e">
        <f>+BJ37/100*60</f>
        <v>#VALUE!</v>
      </c>
      <c r="BL37" s="164"/>
      <c r="BM37" s="157">
        <f>+P37</f>
        <v>0</v>
      </c>
      <c r="BN37">
        <f t="shared" si="28"/>
        <v>2</v>
      </c>
    </row>
    <row r="38" spans="1:67" ht="15.95" customHeight="1" thickBot="1" x14ac:dyDescent="0.3">
      <c r="A38" s="85"/>
      <c r="B38" s="86" t="str">
        <f>IF($I38&lt;&gt;"",IF(WEEKDAY($I38,2)&lt;6,IF(VLOOKUP(WEEKDAY($I38,2),InputUge,3)&gt;0,IF($A38="",VLOOKUP(WEEKDAY($I38,2),InputUge,3)+MAX(B$8:B37),IF($A38&lt;VLOOKUP(WEEKDAY($I38,2),InputUge,3),$A38+MAX(B$8:B37),VLOOKUP(WEEKDAY($I38,2),InputUge,3)+MAX(B$8:B37))),""),""),"")</f>
        <v/>
      </c>
      <c r="C38" s="144">
        <f>IF(B38&lt;0,-1,1)</f>
        <v>1</v>
      </c>
      <c r="D38" s="146" t="e">
        <f>FLOOR(B38,C38)</f>
        <v>#VALUE!</v>
      </c>
      <c r="E38" s="146" t="e">
        <f>+B38-D38</f>
        <v>#VALUE!</v>
      </c>
      <c r="F38" s="146" t="e">
        <f>+E38/100*60</f>
        <v>#VALUE!</v>
      </c>
      <c r="G38" s="281"/>
      <c r="H38" s="88">
        <v>30</v>
      </c>
      <c r="I38" s="89">
        <f t="shared" si="10"/>
        <v>41455</v>
      </c>
      <c r="J38" s="6"/>
      <c r="K38" s="6"/>
      <c r="L38" s="5"/>
      <c r="M38" s="141"/>
      <c r="N38" s="141"/>
      <c r="O38" s="141"/>
      <c r="P38" s="147"/>
      <c r="Q38" s="572"/>
      <c r="R38" s="573"/>
      <c r="S38" s="573"/>
      <c r="T38" s="574"/>
      <c r="U38" s="442"/>
      <c r="V38" s="241">
        <f t="shared" si="0"/>
        <v>0</v>
      </c>
      <c r="W38" s="241">
        <f t="shared" si="46"/>
        <v>0</v>
      </c>
      <c r="X38" s="241">
        <f t="shared" si="1"/>
        <v>0</v>
      </c>
      <c r="Y38" s="443">
        <f t="shared" si="47"/>
        <v>0</v>
      </c>
      <c r="Z38" s="442"/>
      <c r="AA38" s="442"/>
      <c r="AB38" s="442"/>
      <c r="AC38" s="442"/>
      <c r="AD38" s="442"/>
      <c r="AE38" s="241">
        <f t="shared" si="2"/>
        <v>0</v>
      </c>
      <c r="AF38" s="241">
        <f t="shared" si="48"/>
        <v>0</v>
      </c>
      <c r="AG38" s="241">
        <f t="shared" si="3"/>
        <v>0</v>
      </c>
      <c r="AH38" s="443">
        <f t="shared" si="49"/>
        <v>0</v>
      </c>
      <c r="AI38" s="444"/>
      <c r="AJ38" s="444"/>
      <c r="AK38" s="444"/>
      <c r="AL38" s="445"/>
      <c r="AM38" s="476"/>
      <c r="AN38" s="241">
        <f t="shared" si="4"/>
        <v>0</v>
      </c>
      <c r="AO38" s="241">
        <f t="shared" si="5"/>
        <v>0</v>
      </c>
      <c r="AP38" s="241">
        <f t="shared" si="6"/>
        <v>0</v>
      </c>
      <c r="AQ38" s="443">
        <f t="shared" si="15"/>
        <v>0</v>
      </c>
      <c r="AR38" s="444"/>
      <c r="AS38" s="444"/>
      <c r="AT38" s="444"/>
      <c r="AU38" s="445"/>
      <c r="AZ38" s="189"/>
      <c r="BA38" s="189"/>
      <c r="BB38" s="189"/>
      <c r="BC38" s="189"/>
      <c r="BD38" s="189"/>
      <c r="BE38" s="189"/>
      <c r="BG38" s="145" t="e">
        <f>IF($K38&gt;=0,+SUM(L$9:$L38)-$B38+Jun!$AZ$40+SUM(AQ$9:$AQ38)," ")</f>
        <v>#VALUE!</v>
      </c>
      <c r="BH38" s="144" t="e">
        <f>IF(BG38&lt;0,-1,1)</f>
        <v>#VALUE!</v>
      </c>
      <c r="BI38" s="146" t="e">
        <f t="shared" si="50"/>
        <v>#VALUE!</v>
      </c>
      <c r="BJ38" s="146" t="e">
        <f t="shared" si="51"/>
        <v>#VALUE!</v>
      </c>
      <c r="BK38" s="146" t="e">
        <f>+BJ38/100*60</f>
        <v>#VALUE!</v>
      </c>
      <c r="BL38" s="164"/>
      <c r="BM38" s="157">
        <f>+P38</f>
        <v>0</v>
      </c>
      <c r="BN38">
        <f t="shared" si="28"/>
        <v>2</v>
      </c>
    </row>
    <row r="39" spans="1:67" ht="15.95" customHeight="1" thickBot="1" x14ac:dyDescent="0.3">
      <c r="B39" s="80">
        <f>MAX($B$8:$B38)</f>
        <v>140.95999999999998</v>
      </c>
      <c r="C39" s="80"/>
      <c r="D39" s="80"/>
      <c r="E39" s="80"/>
      <c r="F39" s="80"/>
      <c r="G39" s="279">
        <f>MAX($G$8:$G38)</f>
        <v>140.57599999999999</v>
      </c>
      <c r="H39" s="10" t="s">
        <v>1</v>
      </c>
      <c r="I39" s="14"/>
      <c r="J39" s="612">
        <f>SUM(L39:L39)-SUM(Q40:R40)</f>
        <v>140.95999999999998</v>
      </c>
      <c r="K39" s="613"/>
      <c r="L39" s="76">
        <f>SUM(L9:L38)</f>
        <v>140.95999999999998</v>
      </c>
      <c r="M39" s="141">
        <f>FLOOR(L39,1)</f>
        <v>140</v>
      </c>
      <c r="N39" s="141">
        <f>+L39-M39</f>
        <v>0.95999999999997954</v>
      </c>
      <c r="O39" s="141">
        <f>+N39/100*60</f>
        <v>0.57599999999998774</v>
      </c>
      <c r="P39" s="276">
        <f>+O39+M39</f>
        <v>140.57599999999999</v>
      </c>
      <c r="Q39" s="629"/>
      <c r="R39" s="630"/>
      <c r="S39" s="631"/>
      <c r="T39" s="632"/>
      <c r="U39" s="421">
        <f>+AC39</f>
        <v>0</v>
      </c>
      <c r="V39" s="421"/>
      <c r="W39" s="421"/>
      <c r="X39" s="421"/>
      <c r="Y39" s="422">
        <f>SUM(Y8:Y38)</f>
        <v>0</v>
      </c>
      <c r="Z39" s="252">
        <f>FLOOR(Y39,1)</f>
        <v>0</v>
      </c>
      <c r="AA39" s="252">
        <f>+Y39-Z39</f>
        <v>0</v>
      </c>
      <c r="AB39" s="252">
        <f>+AA39/100*60</f>
        <v>0</v>
      </c>
      <c r="AC39" s="252">
        <f>+AB39+Z39</f>
        <v>0</v>
      </c>
      <c r="AD39" s="421">
        <f>+AL39</f>
        <v>0</v>
      </c>
      <c r="AE39" s="422"/>
      <c r="AF39" s="422"/>
      <c r="AG39" s="422"/>
      <c r="AH39" s="422">
        <f>SUM(AH8:AH38)</f>
        <v>0</v>
      </c>
      <c r="AI39" s="252">
        <f>FLOOR(AH39,1)</f>
        <v>0</v>
      </c>
      <c r="AJ39" s="252">
        <f>+AH39-AI39</f>
        <v>0</v>
      </c>
      <c r="AK39" s="252">
        <f>+AJ39/100*60</f>
        <v>0</v>
      </c>
      <c r="AL39" s="252">
        <f>+AK39+AI39</f>
        <v>0</v>
      </c>
      <c r="AM39" s="473">
        <f>+AU39</f>
        <v>0</v>
      </c>
      <c r="AN39" s="459"/>
      <c r="AO39" s="434"/>
      <c r="AP39" s="434"/>
      <c r="AQ39" s="434">
        <f>SUM(AQ8:AQ38)</f>
        <v>0</v>
      </c>
      <c r="AR39" s="141">
        <f>FLOOR(AQ39,1)</f>
        <v>0</v>
      </c>
      <c r="AS39" s="141">
        <f>+AQ39-AR39</f>
        <v>0</v>
      </c>
      <c r="AT39" s="141">
        <f>+AS39/100*60</f>
        <v>0</v>
      </c>
      <c r="AU39" s="141">
        <f>+AT39+AR39</f>
        <v>0</v>
      </c>
      <c r="AZ39" s="191"/>
      <c r="BA39" s="144">
        <f t="shared" ref="BA39:BA44" si="54">IF(AZ39&lt;0,-1,1)</f>
        <v>1</v>
      </c>
      <c r="BB39" s="146">
        <f t="shared" ref="BB39:BB44" si="55">FLOOR(AZ39,BA39)</f>
        <v>0</v>
      </c>
      <c r="BC39" s="191"/>
      <c r="BD39" s="191"/>
      <c r="BE39" s="191"/>
      <c r="BG39" s="137"/>
      <c r="BH39" s="144"/>
      <c r="BI39" s="144"/>
      <c r="BJ39" s="144"/>
      <c r="BK39" s="144"/>
      <c r="BL39" s="268"/>
      <c r="BO39" s="15"/>
    </row>
    <row r="40" spans="1:67" ht="15.95" customHeight="1" x14ac:dyDescent="0.25">
      <c r="H40" s="623"/>
      <c r="I40" s="623"/>
      <c r="J40" s="637"/>
      <c r="K40" s="637"/>
      <c r="L40" s="637"/>
      <c r="M40" s="124"/>
      <c r="N40" s="124"/>
      <c r="O40" s="124"/>
      <c r="P40" s="124"/>
      <c r="Q40" s="104"/>
      <c r="R40" s="104"/>
      <c r="S40" s="599" t="s">
        <v>10</v>
      </c>
      <c r="T40" s="600"/>
      <c r="U40" s="600"/>
      <c r="V40" s="600"/>
      <c r="W40" s="600"/>
      <c r="X40" s="600"/>
      <c r="Y40" s="600"/>
      <c r="Z40" s="600"/>
      <c r="AA40" s="600"/>
      <c r="AB40" s="600"/>
      <c r="AC40" s="600"/>
      <c r="AD40" s="601"/>
      <c r="AE40" s="601"/>
      <c r="AF40" s="601"/>
      <c r="AG40" s="601"/>
      <c r="AH40" s="601"/>
      <c r="AI40" s="601"/>
      <c r="AJ40" s="601"/>
      <c r="AK40" s="601"/>
      <c r="AL40" s="601"/>
      <c r="AM40" s="634"/>
      <c r="AN40" s="400"/>
      <c r="AO40" s="400"/>
      <c r="AP40" s="400"/>
      <c r="AQ40" s="400"/>
      <c r="AR40" s="400"/>
      <c r="AS40" s="400"/>
      <c r="AT40" s="400"/>
      <c r="AU40" s="400"/>
      <c r="AV40" s="538">
        <f>+Maj!AV44</f>
        <v>0</v>
      </c>
      <c r="AW40" s="538"/>
      <c r="AX40" s="633"/>
      <c r="AZ40" s="190">
        <f>+Maj!AZ44</f>
        <v>0</v>
      </c>
      <c r="BA40" s="144">
        <f t="shared" si="54"/>
        <v>1</v>
      </c>
      <c r="BB40" s="146">
        <f t="shared" si="55"/>
        <v>0</v>
      </c>
      <c r="BC40" s="141">
        <f>+AZ40-BB40</f>
        <v>0</v>
      </c>
      <c r="BD40" s="141">
        <f>+BC40/100*60</f>
        <v>0</v>
      </c>
      <c r="BE40" s="162">
        <f>+BD40+BB40</f>
        <v>0</v>
      </c>
      <c r="BG40" s="138"/>
      <c r="BH40" s="143"/>
      <c r="BI40" s="143"/>
      <c r="BJ40" s="143"/>
      <c r="BK40" s="143"/>
      <c r="BL40" s="269"/>
    </row>
    <row r="41" spans="1:67" ht="15.95" customHeight="1" x14ac:dyDescent="0.25">
      <c r="H41" s="94"/>
      <c r="I41" s="94"/>
      <c r="J41" s="94"/>
      <c r="K41" s="94"/>
      <c r="L41" s="100"/>
      <c r="M41" s="100"/>
      <c r="N41" s="100"/>
      <c r="O41" s="100"/>
      <c r="P41" s="100"/>
      <c r="Q41" s="100"/>
      <c r="R41" s="100"/>
      <c r="S41" s="602" t="s">
        <v>11</v>
      </c>
      <c r="T41" s="603"/>
      <c r="U41" s="603"/>
      <c r="V41" s="603"/>
      <c r="W41" s="603"/>
      <c r="X41" s="603"/>
      <c r="Y41" s="603"/>
      <c r="Z41" s="603"/>
      <c r="AA41" s="603"/>
      <c r="AB41" s="603"/>
      <c r="AC41" s="603"/>
      <c r="AD41" s="604"/>
      <c r="AE41" s="604"/>
      <c r="AF41" s="604"/>
      <c r="AG41" s="604"/>
      <c r="AH41" s="604"/>
      <c r="AI41" s="604"/>
      <c r="AJ41" s="604"/>
      <c r="AK41" s="604"/>
      <c r="AL41" s="604"/>
      <c r="AM41" s="604"/>
      <c r="AN41" s="401"/>
      <c r="AO41" s="401"/>
      <c r="AP41" s="401"/>
      <c r="AQ41" s="401"/>
      <c r="AR41" s="401"/>
      <c r="AS41" s="401"/>
      <c r="AT41" s="401"/>
      <c r="AU41" s="401"/>
      <c r="AV41" s="606">
        <f>+BE41</f>
        <v>140.57599999999999</v>
      </c>
      <c r="AW41" s="606"/>
      <c r="AX41" s="607"/>
      <c r="AY41" s="1"/>
      <c r="AZ41" s="190">
        <f>+J39+AQ39</f>
        <v>140.95999999999998</v>
      </c>
      <c r="BA41" s="144">
        <f t="shared" si="54"/>
        <v>1</v>
      </c>
      <c r="BB41" s="146">
        <f t="shared" si="55"/>
        <v>140</v>
      </c>
      <c r="BC41" s="141">
        <f>+AZ41-BB41</f>
        <v>0.95999999999997954</v>
      </c>
      <c r="BD41" s="141">
        <f>+BC41/100*60</f>
        <v>0.57599999999998774</v>
      </c>
      <c r="BE41" s="162">
        <f>+BD41+BB41</f>
        <v>140.57599999999999</v>
      </c>
    </row>
    <row r="42" spans="1:67" ht="15.95" customHeight="1" x14ac:dyDescent="0.25">
      <c r="H42" s="611"/>
      <c r="I42" s="611"/>
      <c r="J42" s="611"/>
      <c r="K42" s="611"/>
      <c r="L42" s="611"/>
      <c r="M42" s="611"/>
      <c r="N42" s="611"/>
      <c r="O42" s="611"/>
      <c r="P42" s="611"/>
      <c r="Q42" s="611"/>
      <c r="R42" s="611"/>
      <c r="S42" s="602" t="s">
        <v>12</v>
      </c>
      <c r="T42" s="603"/>
      <c r="U42" s="603"/>
      <c r="V42" s="603"/>
      <c r="W42" s="603"/>
      <c r="X42" s="603"/>
      <c r="Y42" s="603"/>
      <c r="Z42" s="603"/>
      <c r="AA42" s="603"/>
      <c r="AB42" s="603"/>
      <c r="AC42" s="603"/>
      <c r="AD42" s="604"/>
      <c r="AE42" s="604"/>
      <c r="AF42" s="604"/>
      <c r="AG42" s="604"/>
      <c r="AH42" s="604"/>
      <c r="AI42" s="604"/>
      <c r="AJ42" s="604"/>
      <c r="AK42" s="604"/>
      <c r="AL42" s="604"/>
      <c r="AM42" s="604"/>
      <c r="AN42" s="401"/>
      <c r="AO42" s="401"/>
      <c r="AP42" s="401"/>
      <c r="AQ42" s="401"/>
      <c r="AR42" s="401"/>
      <c r="AS42" s="401"/>
      <c r="AT42" s="401"/>
      <c r="AU42" s="401"/>
      <c r="AV42" s="543">
        <f>+BE42</f>
        <v>140.57599999999999</v>
      </c>
      <c r="AW42" s="543"/>
      <c r="AX42" s="544"/>
      <c r="AZ42" s="157">
        <f>+B39</f>
        <v>140.95999999999998</v>
      </c>
      <c r="BA42" s="144">
        <f t="shared" si="54"/>
        <v>1</v>
      </c>
      <c r="BB42" s="146">
        <f t="shared" si="55"/>
        <v>140</v>
      </c>
      <c r="BC42" s="141">
        <f>+AZ42-BB42</f>
        <v>0.95999999999997954</v>
      </c>
      <c r="BD42" s="141">
        <f>+BC42/100*60</f>
        <v>0.57599999999998774</v>
      </c>
      <c r="BE42" s="162">
        <f>+BD42+BB42</f>
        <v>140.57599999999999</v>
      </c>
    </row>
    <row r="43" spans="1:67" ht="15.95" customHeight="1" thickBot="1" x14ac:dyDescent="0.3">
      <c r="H43" s="96"/>
      <c r="I43" s="96"/>
      <c r="J43" s="96"/>
      <c r="K43" s="96"/>
      <c r="L43" s="97"/>
      <c r="M43" s="97"/>
      <c r="N43" s="97"/>
      <c r="O43" s="97"/>
      <c r="P43" s="97"/>
      <c r="Q43" s="96"/>
      <c r="R43" s="96"/>
      <c r="S43" s="596" t="s">
        <v>13</v>
      </c>
      <c r="T43" s="597"/>
      <c r="U43" s="597"/>
      <c r="V43" s="597"/>
      <c r="W43" s="597"/>
      <c r="X43" s="597"/>
      <c r="Y43" s="597"/>
      <c r="Z43" s="597"/>
      <c r="AA43" s="597"/>
      <c r="AB43" s="597"/>
      <c r="AC43" s="597"/>
      <c r="AD43" s="598"/>
      <c r="AE43" s="598"/>
      <c r="AF43" s="598"/>
      <c r="AG43" s="598"/>
      <c r="AH43" s="598"/>
      <c r="AI43" s="598"/>
      <c r="AJ43" s="598"/>
      <c r="AK43" s="598"/>
      <c r="AL43" s="598"/>
      <c r="AM43" s="598"/>
      <c r="AN43" s="402"/>
      <c r="AO43" s="402"/>
      <c r="AP43" s="402"/>
      <c r="AQ43" s="402"/>
      <c r="AR43" s="402"/>
      <c r="AS43" s="402"/>
      <c r="AT43" s="402"/>
      <c r="AU43" s="402"/>
      <c r="AV43" s="545">
        <f>+AV40+AV41-AV42</f>
        <v>0</v>
      </c>
      <c r="AW43" s="545"/>
      <c r="AX43" s="609"/>
      <c r="AZ43" s="157">
        <f>+AZ40+AZ41-AZ42</f>
        <v>0</v>
      </c>
      <c r="BA43" s="144">
        <f t="shared" si="54"/>
        <v>1</v>
      </c>
      <c r="BB43" s="146">
        <f t="shared" si="55"/>
        <v>0</v>
      </c>
      <c r="BC43" s="141">
        <f>+AZ43-BB43</f>
        <v>0</v>
      </c>
      <c r="BD43" s="141">
        <f>+BC43/100*60</f>
        <v>0</v>
      </c>
      <c r="BE43" s="162">
        <f>+BD43+BB43</f>
        <v>0</v>
      </c>
    </row>
    <row r="44" spans="1:67" ht="15.95" hidden="1" customHeight="1" x14ac:dyDescent="0.25">
      <c r="H44" s="96"/>
      <c r="I44" s="96"/>
      <c r="J44" s="96"/>
      <c r="K44" s="96"/>
      <c r="L44" s="96"/>
      <c r="M44" s="96"/>
      <c r="N44" s="96"/>
      <c r="O44" s="96"/>
      <c r="P44" s="95"/>
      <c r="Q44" s="96"/>
      <c r="R44" s="96"/>
      <c r="S44" s="171"/>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2"/>
      <c r="BA44" s="144">
        <f t="shared" si="54"/>
        <v>1</v>
      </c>
      <c r="BB44" s="146">
        <f t="shared" si="55"/>
        <v>0</v>
      </c>
    </row>
    <row r="45" spans="1:67" ht="15.95" hidden="1" customHeight="1" thickBot="1" x14ac:dyDescent="0.3">
      <c r="S45" s="589" t="s">
        <v>76</v>
      </c>
      <c r="T45" s="590"/>
      <c r="U45" s="590"/>
      <c r="V45" s="590"/>
      <c r="W45" s="590"/>
      <c r="X45" s="590"/>
      <c r="Y45" s="590"/>
      <c r="Z45" s="590"/>
      <c r="AA45" s="590"/>
      <c r="AB45" s="590"/>
      <c r="AC45" s="590"/>
      <c r="AD45" s="590"/>
      <c r="AE45" s="590"/>
      <c r="AF45" s="590"/>
      <c r="AG45" s="590"/>
      <c r="AH45" s="590"/>
      <c r="AI45" s="590"/>
      <c r="AJ45" s="590"/>
      <c r="AK45" s="590"/>
      <c r="AL45" s="590"/>
      <c r="AM45" s="590"/>
      <c r="AN45" s="175"/>
      <c r="AO45" s="175"/>
      <c r="AP45" s="175"/>
      <c r="AQ45" s="175"/>
      <c r="AR45" s="175"/>
      <c r="AS45" s="175"/>
      <c r="AT45" s="175"/>
      <c r="AU45" s="175"/>
      <c r="AV45" s="594">
        <f>+BE45</f>
        <v>0</v>
      </c>
      <c r="AW45" s="594"/>
      <c r="AX45" s="595"/>
      <c r="AZ45" s="157">
        <f>+Y39+AH39+Mar!AZ46</f>
        <v>0</v>
      </c>
      <c r="BA45" s="157"/>
      <c r="BB45" s="141">
        <f>FLOOR(AZ45,1)</f>
        <v>0</v>
      </c>
      <c r="BC45" s="141">
        <f>+AZ45-BB45</f>
        <v>0</v>
      </c>
      <c r="BD45" s="141">
        <f>+BC45/100*60</f>
        <v>0</v>
      </c>
      <c r="BE45" s="162">
        <f>+BD45+BB45</f>
        <v>0</v>
      </c>
    </row>
  </sheetData>
  <sheetProtection sheet="1" objects="1" scenarios="1"/>
  <mergeCells count="58">
    <mergeCell ref="Q29:T29"/>
    <mergeCell ref="H5:K5"/>
    <mergeCell ref="H40:L40"/>
    <mergeCell ref="J39:K39"/>
    <mergeCell ref="L5:S5"/>
    <mergeCell ref="Q7:T7"/>
    <mergeCell ref="Q23:T23"/>
    <mergeCell ref="Q24:T24"/>
    <mergeCell ref="Q17:T17"/>
    <mergeCell ref="Q18:T18"/>
    <mergeCell ref="Q21:T21"/>
    <mergeCell ref="Q22:T22"/>
    <mergeCell ref="Q19:T19"/>
    <mergeCell ref="Q20:T20"/>
    <mergeCell ref="Q30:T30"/>
    <mergeCell ref="Q31:T31"/>
    <mergeCell ref="Q27:T27"/>
    <mergeCell ref="Q11:T11"/>
    <mergeCell ref="Q12:T12"/>
    <mergeCell ref="Q15:T15"/>
    <mergeCell ref="Q16:T16"/>
    <mergeCell ref="H42:R42"/>
    <mergeCell ref="Q28:T28"/>
    <mergeCell ref="Q25:T25"/>
    <mergeCell ref="Q26:T26"/>
    <mergeCell ref="Q38:T38"/>
    <mergeCell ref="Q39:T39"/>
    <mergeCell ref="Q33:T33"/>
    <mergeCell ref="Q34:T34"/>
    <mergeCell ref="Q37:T37"/>
    <mergeCell ref="Q35:T35"/>
    <mergeCell ref="Q36:T36"/>
    <mergeCell ref="Q32:T32"/>
    <mergeCell ref="H1:AZ1"/>
    <mergeCell ref="S45:AM45"/>
    <mergeCell ref="AV45:AX45"/>
    <mergeCell ref="S43:AM43"/>
    <mergeCell ref="S40:AM40"/>
    <mergeCell ref="S41:AM41"/>
    <mergeCell ref="S42:AM42"/>
    <mergeCell ref="AV43:AX43"/>
    <mergeCell ref="Q13:T13"/>
    <mergeCell ref="Q14:T14"/>
    <mergeCell ref="Q9:T9"/>
    <mergeCell ref="Q10:T10"/>
    <mergeCell ref="L4:S4"/>
    <mergeCell ref="H3:K3"/>
    <mergeCell ref="L3:S3"/>
    <mergeCell ref="H4:K4"/>
    <mergeCell ref="U3:AV3"/>
    <mergeCell ref="AV41:AX41"/>
    <mergeCell ref="AV42:AX42"/>
    <mergeCell ref="AX3:AY3"/>
    <mergeCell ref="AX4:AY4"/>
    <mergeCell ref="AV40:AX40"/>
    <mergeCell ref="AX5:AY5"/>
    <mergeCell ref="U5:AV5"/>
    <mergeCell ref="U6:AD6"/>
  </mergeCells>
  <phoneticPr fontId="0" type="noConversion"/>
  <conditionalFormatting sqref="H9:H38">
    <cfRule type="expression" dxfId="115" priority="14" stopIfTrue="1">
      <formula>IF(WEEKDAY($I9,2)&gt;5,1,0)</formula>
    </cfRule>
    <cfRule type="expression" dxfId="114" priority="15" stopIfTrue="1">
      <formula>IF($I9=TODAY(),1,0)</formula>
    </cfRule>
  </conditionalFormatting>
  <conditionalFormatting sqref="Q9:T38 J9:K10 AZ9:BE38 J12:K24 J26:K27 J37:K38 J30:K31">
    <cfRule type="expression" dxfId="113" priority="16" stopIfTrue="1">
      <formula>IF(WEEKDAY($B9,2)&lt;6,1,0)</formula>
    </cfRule>
  </conditionalFormatting>
  <conditionalFormatting sqref="AE9:AG38 BB39:BB44 Z39:AC39 AL13 V9:X38 AI39:AL39 AU13 AN9:AP38 AR39:AU39 BB45:BE45 BC40:BE43 L9:P10 BI9:BK38 L12:P24 L26:P27 L37:L38 M37:P39 L30:P31">
    <cfRule type="cellIs" dxfId="112" priority="17" stopIfTrue="1" operator="lessThan">
      <formula>0</formula>
    </cfRule>
  </conditionalFormatting>
  <conditionalFormatting sqref="G9:G38 B9:B38">
    <cfRule type="expression" dxfId="111" priority="18" stopIfTrue="1">
      <formula>IF(B9=MAX($B$8:B8),1,0)</formula>
    </cfRule>
  </conditionalFormatting>
  <conditionalFormatting sqref="J11:K11">
    <cfRule type="expression" dxfId="110" priority="12" stopIfTrue="1">
      <formula>IF(WEEKDAY($B11,2)&lt;6,1,0)</formula>
    </cfRule>
  </conditionalFormatting>
  <conditionalFormatting sqref="L11:P11">
    <cfRule type="cellIs" dxfId="109" priority="13" stopIfTrue="1" operator="lessThan">
      <formula>0</formula>
    </cfRule>
  </conditionalFormatting>
  <conditionalFormatting sqref="J25:K25">
    <cfRule type="expression" dxfId="108" priority="10" stopIfTrue="1">
      <formula>IF(WEEKDAY($B25,2)&lt;6,1,0)</formula>
    </cfRule>
  </conditionalFormatting>
  <conditionalFormatting sqref="L25:P25">
    <cfRule type="cellIs" dxfId="107" priority="11" stopIfTrue="1" operator="lessThan">
      <formula>0</formula>
    </cfRule>
  </conditionalFormatting>
  <conditionalFormatting sqref="J33:K34">
    <cfRule type="expression" dxfId="106" priority="8" stopIfTrue="1">
      <formula>IF(WEEKDAY($B33,2)&lt;6,1,0)</formula>
    </cfRule>
  </conditionalFormatting>
  <conditionalFormatting sqref="L33:P34">
    <cfRule type="cellIs" dxfId="105" priority="9" stopIfTrue="1" operator="lessThan">
      <formula>0</formula>
    </cfRule>
  </conditionalFormatting>
  <conditionalFormatting sqref="J32">
    <cfRule type="expression" dxfId="104" priority="6" stopIfTrue="1">
      <formula>IF(WEEKDAY($B32,2)&lt;6,1,0)</formula>
    </cfRule>
  </conditionalFormatting>
  <conditionalFormatting sqref="L32:P32">
    <cfRule type="cellIs" dxfId="103" priority="7" stopIfTrue="1" operator="lessThan">
      <formula>0</formula>
    </cfRule>
  </conditionalFormatting>
  <conditionalFormatting sqref="J28:K29">
    <cfRule type="expression" dxfId="102" priority="4" stopIfTrue="1">
      <formula>IF(WEEKDAY($B28,2)&lt;6,1,0)</formula>
    </cfRule>
  </conditionalFormatting>
  <conditionalFormatting sqref="L28:P29">
    <cfRule type="cellIs" dxfId="101" priority="5" stopIfTrue="1" operator="lessThan">
      <formula>0</formula>
    </cfRule>
  </conditionalFormatting>
  <conditionalFormatting sqref="J35:K36">
    <cfRule type="expression" dxfId="100" priority="2" stopIfTrue="1">
      <formula>IF(WEEKDAY($B35,2)&lt;6,1,0)</formula>
    </cfRule>
  </conditionalFormatting>
  <conditionalFormatting sqref="L35:P36">
    <cfRule type="cellIs" dxfId="99" priority="3" stopIfTrue="1" operator="lessThan">
      <formula>0</formula>
    </cfRule>
  </conditionalFormatting>
  <conditionalFormatting sqref="K32">
    <cfRule type="expression" dxfId="98" priority="1" stopIfTrue="1">
      <formula>IF(WEEKDAY($B32,2)&lt;6,1,0)</formula>
    </cfRule>
  </conditionalFormatting>
  <printOptions horizontalCentered="1" verticalCentered="1"/>
  <pageMargins left="0.59055118110236227" right="0.19685039370078741" top="0.19685039370078741" bottom="0.59055118110236227" header="0.51181102362204722" footer="0.51181102362204722"/>
  <pageSetup paperSize="9" scale="110" orientation="portrait" horizont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7"/>
  <dimension ref="A1:BN46"/>
  <sheetViews>
    <sheetView zoomScale="75" workbookViewId="0">
      <pane xSplit="9" ySplit="8" topLeftCell="J9" activePane="bottomRight" state="frozen"/>
      <selection activeCell="U24" sqref="U24"/>
      <selection pane="topRight" activeCell="U24" sqref="U24"/>
      <selection pane="bottomLeft" activeCell="U24" sqref="U24"/>
      <selection pane="bottomRight" activeCell="Q28" sqref="Q28:T28"/>
    </sheetView>
  </sheetViews>
  <sheetFormatPr defaultRowHeight="15" x14ac:dyDescent="0.25"/>
  <cols>
    <col min="1" max="1" width="8.140625" customWidth="1"/>
    <col min="2" max="2" width="14.42578125" hidden="1" customWidth="1"/>
    <col min="3" max="3" width="5.28515625" hidden="1" customWidth="1"/>
    <col min="4" max="6" width="9.85546875" hidden="1" customWidth="1"/>
    <col min="7" max="7" width="10" style="270" bestFit="1" customWidth="1"/>
    <col min="8" max="8" width="5.42578125" bestFit="1" customWidth="1"/>
    <col min="9" max="9" width="12" hidden="1" customWidth="1"/>
    <col min="10" max="10" width="7.7109375" bestFit="1" customWidth="1"/>
    <col min="11" max="11" width="7" bestFit="1" customWidth="1"/>
    <col min="12" max="12" width="7.140625" hidden="1" customWidth="1"/>
    <col min="13" max="13" width="7.5703125" hidden="1" customWidth="1"/>
    <col min="14" max="15" width="5.28515625" hidden="1" customWidth="1"/>
    <col min="16" max="16" width="8.42578125" style="266" customWidth="1"/>
    <col min="17" max="17" width="6.28515625" customWidth="1"/>
    <col min="18" max="18" width="3" customWidth="1"/>
    <col min="19" max="19" width="6.28515625" customWidth="1"/>
    <col min="20" max="20" width="8.140625" customWidth="1"/>
    <col min="21" max="21" width="17.85546875" customWidth="1"/>
    <col min="22" max="29" width="5.28515625" hidden="1" customWidth="1"/>
    <col min="30" max="30" width="15.42578125" style="266" customWidth="1"/>
    <col min="31" max="37" width="5.28515625" hidden="1" customWidth="1"/>
    <col min="38" max="38" width="1" hidden="1" customWidth="1"/>
    <col min="39" max="39" width="22.85546875" bestFit="1" customWidth="1"/>
    <col min="40" max="47" width="5.28515625" hidden="1" customWidth="1"/>
    <col min="48" max="48" width="6.28515625" hidden="1" customWidth="1"/>
    <col min="49" max="49" width="6.85546875" customWidth="1"/>
    <col min="50" max="50" width="2.85546875" customWidth="1"/>
    <col min="51" max="51" width="8.42578125" customWidth="1"/>
    <col min="52" max="52" width="8.5703125" hidden="1" customWidth="1"/>
    <col min="53" max="53" width="6" hidden="1" customWidth="1"/>
    <col min="54" max="54" width="7.5703125" hidden="1" customWidth="1"/>
    <col min="55" max="56" width="6" hidden="1" customWidth="1"/>
    <col min="57" max="57" width="7.5703125" hidden="1" customWidth="1"/>
    <col min="58" max="58" width="0" hidden="1" customWidth="1"/>
    <col min="59" max="60" width="10" style="134" hidden="1" customWidth="1"/>
    <col min="61" max="63" width="9.85546875" style="134" hidden="1" customWidth="1"/>
    <col min="64" max="64" width="12.28515625" style="134" customWidth="1"/>
    <col min="65" max="65" width="4.5703125" hidden="1" customWidth="1"/>
    <col min="66" max="66" width="2.28515625" hidden="1" customWidth="1"/>
    <col min="67" max="68" width="0" hidden="1" customWidth="1"/>
  </cols>
  <sheetData>
    <row r="1" spans="1:66" ht="18" x14ac:dyDescent="0.25">
      <c r="H1" s="547" t="s">
        <v>114</v>
      </c>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174"/>
      <c r="BB1" s="174"/>
      <c r="BC1" s="174"/>
      <c r="BD1" s="174"/>
      <c r="BE1" s="174"/>
    </row>
    <row r="2" spans="1:66" ht="8.1" customHeight="1" x14ac:dyDescent="0.25">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66" ht="15.95" customHeight="1" x14ac:dyDescent="0.25">
      <c r="H3" s="620" t="s">
        <v>5</v>
      </c>
      <c r="I3" s="621"/>
      <c r="J3" s="621"/>
      <c r="K3" s="622"/>
      <c r="L3" s="555" t="str">
        <f>+Resume!H1</f>
        <v>Lars Larsen</v>
      </c>
      <c r="M3" s="556"/>
      <c r="N3" s="556"/>
      <c r="O3" s="556"/>
      <c r="P3" s="556"/>
      <c r="Q3" s="557"/>
      <c r="R3" s="557"/>
      <c r="S3" s="557"/>
      <c r="T3" s="49"/>
      <c r="U3" s="626" t="s">
        <v>7</v>
      </c>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155"/>
      <c r="AX3" s="558">
        <f>DATE(Nøgletal!B1,7,1)</f>
        <v>41456</v>
      </c>
      <c r="AY3" s="560"/>
      <c r="AZ3" s="183"/>
      <c r="BA3" s="183"/>
      <c r="BB3" s="183"/>
      <c r="BC3" s="183"/>
      <c r="BD3" s="183"/>
      <c r="BE3" s="183"/>
    </row>
    <row r="4" spans="1:66" ht="15.95" customHeight="1" x14ac:dyDescent="0.25">
      <c r="H4" s="625" t="s">
        <v>6</v>
      </c>
      <c r="I4" s="625"/>
      <c r="J4" s="625"/>
      <c r="K4" s="625"/>
      <c r="L4" s="550" t="str">
        <f>+Resume!H2</f>
        <v>010101-0101</v>
      </c>
      <c r="M4" s="551"/>
      <c r="N4" s="551"/>
      <c r="O4" s="551"/>
      <c r="P4" s="551"/>
      <c r="Q4" s="551"/>
      <c r="R4" s="551"/>
      <c r="S4" s="551"/>
      <c r="T4" s="50"/>
      <c r="U4" s="17" t="s">
        <v>8</v>
      </c>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8"/>
      <c r="AW4" s="159"/>
      <c r="AX4" s="561" t="str">
        <f>IF(Resume!I4&lt;&gt;"",Resume!I4,"")</f>
        <v>1 - bagud</v>
      </c>
      <c r="AY4" s="563"/>
      <c r="AZ4" s="184"/>
      <c r="BA4" s="184"/>
      <c r="BB4" s="184"/>
      <c r="BC4" s="184"/>
      <c r="BD4" s="184"/>
      <c r="BE4" s="184"/>
    </row>
    <row r="5" spans="1:66" ht="15.95" customHeight="1" x14ac:dyDescent="0.25">
      <c r="H5" s="620" t="s">
        <v>9</v>
      </c>
      <c r="I5" s="621"/>
      <c r="J5" s="621"/>
      <c r="K5" s="622"/>
      <c r="L5" s="555" t="str">
        <f>+Resume!H3</f>
        <v>SKAT</v>
      </c>
      <c r="M5" s="556"/>
      <c r="N5" s="556"/>
      <c r="O5" s="556"/>
      <c r="P5" s="556"/>
      <c r="Q5" s="557"/>
      <c r="R5" s="557"/>
      <c r="S5" s="557"/>
      <c r="T5" s="49"/>
      <c r="U5" s="617"/>
      <c r="V5" s="618"/>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9"/>
      <c r="AW5" s="156"/>
      <c r="AX5" s="614"/>
      <c r="AY5" s="616"/>
      <c r="AZ5" s="185"/>
      <c r="BA5" s="185"/>
      <c r="BB5" s="185"/>
      <c r="BC5" s="185"/>
      <c r="BD5" s="185"/>
      <c r="BE5" s="185"/>
    </row>
    <row r="6" spans="1:66" ht="40.5" customHeight="1" thickBot="1" x14ac:dyDescent="0.3">
      <c r="H6" s="3"/>
      <c r="I6" s="3"/>
      <c r="J6" s="3"/>
      <c r="K6" s="3"/>
      <c r="L6" s="3"/>
      <c r="M6" s="3"/>
      <c r="N6" s="3"/>
      <c r="O6" s="3"/>
      <c r="P6" s="3"/>
      <c r="Q6" s="426"/>
      <c r="R6" s="426"/>
      <c r="S6" s="426"/>
      <c r="T6" s="426"/>
      <c r="U6" s="628" t="s">
        <v>75</v>
      </c>
      <c r="V6" s="628"/>
      <c r="W6" s="628"/>
      <c r="X6" s="628"/>
      <c r="Y6" s="628"/>
      <c r="Z6" s="628"/>
      <c r="AA6" s="628"/>
      <c r="AB6" s="628"/>
      <c r="AC6" s="628"/>
      <c r="AD6" s="628"/>
      <c r="AE6" s="427"/>
      <c r="AF6" s="427"/>
      <c r="AG6" s="427"/>
      <c r="AH6" s="427"/>
      <c r="AI6" s="427"/>
      <c r="AJ6" s="427"/>
      <c r="AK6" s="427"/>
      <c r="AL6" s="427"/>
      <c r="AM6" s="428" t="s">
        <v>77</v>
      </c>
      <c r="AN6" s="429"/>
      <c r="AO6" s="429"/>
      <c r="AP6" s="429"/>
      <c r="AQ6" s="429"/>
      <c r="AR6" s="429"/>
      <c r="AS6" s="429"/>
      <c r="AT6" s="429"/>
      <c r="AU6" s="429"/>
      <c r="AV6" s="426"/>
      <c r="AW6" s="426"/>
      <c r="AX6" s="426"/>
      <c r="AY6" s="426"/>
      <c r="AZ6" s="101"/>
      <c r="BA6" s="101"/>
      <c r="BB6" s="101"/>
      <c r="BC6" s="101"/>
      <c r="BD6" s="101"/>
      <c r="BE6" s="101"/>
    </row>
    <row r="7" spans="1:66" s="118" customFormat="1" ht="46.5" customHeight="1" thickBot="1" x14ac:dyDescent="0.3">
      <c r="A7" s="112" t="s">
        <v>58</v>
      </c>
      <c r="B7" s="113" t="s">
        <v>18</v>
      </c>
      <c r="C7" s="176"/>
      <c r="D7" s="176"/>
      <c r="E7" s="176"/>
      <c r="F7" s="176"/>
      <c r="G7" s="262" t="s">
        <v>18</v>
      </c>
      <c r="H7" s="114" t="s">
        <v>2</v>
      </c>
      <c r="I7" s="115"/>
      <c r="J7" s="116" t="s">
        <v>3</v>
      </c>
      <c r="K7" s="116" t="s">
        <v>4</v>
      </c>
      <c r="L7" s="117" t="s">
        <v>0</v>
      </c>
      <c r="M7" s="139"/>
      <c r="N7" s="139"/>
      <c r="O7" s="139"/>
      <c r="P7" s="216" t="s">
        <v>69</v>
      </c>
      <c r="Q7" s="586" t="s">
        <v>115</v>
      </c>
      <c r="R7" s="587"/>
      <c r="S7" s="587"/>
      <c r="T7" s="588"/>
      <c r="U7" s="452" t="s">
        <v>116</v>
      </c>
      <c r="V7" s="423"/>
      <c r="W7" s="423"/>
      <c r="X7" s="423"/>
      <c r="Y7" s="423"/>
      <c r="Z7" s="423"/>
      <c r="AA7" s="423"/>
      <c r="AB7" s="423"/>
      <c r="AC7" s="423"/>
      <c r="AD7" s="423" t="s">
        <v>68</v>
      </c>
      <c r="AE7" s="423"/>
      <c r="AF7" s="423"/>
      <c r="AG7" s="423"/>
      <c r="AH7" s="423"/>
      <c r="AI7" s="423"/>
      <c r="AJ7" s="423"/>
      <c r="AK7" s="423"/>
      <c r="AL7" s="423"/>
      <c r="AM7" s="460" t="s">
        <v>91</v>
      </c>
      <c r="AN7" s="425"/>
      <c r="AO7" s="425"/>
      <c r="AP7" s="425"/>
      <c r="AQ7" s="425"/>
      <c r="AR7" s="425"/>
      <c r="AS7" s="425"/>
      <c r="AT7" s="425"/>
      <c r="AU7" s="425"/>
      <c r="AZ7" s="186"/>
      <c r="BA7" s="186"/>
      <c r="BB7" s="186"/>
      <c r="BC7" s="186"/>
      <c r="BD7" s="186"/>
      <c r="BE7" s="186"/>
      <c r="BG7" s="135" t="s">
        <v>61</v>
      </c>
      <c r="BH7" s="142"/>
      <c r="BI7" s="142"/>
      <c r="BJ7" s="142"/>
      <c r="BK7" s="142"/>
      <c r="BL7" s="163" t="s">
        <v>70</v>
      </c>
    </row>
    <row r="8" spans="1:66" ht="0.95" customHeight="1" x14ac:dyDescent="0.25">
      <c r="A8" s="81"/>
      <c r="B8" s="82"/>
      <c r="C8" s="177"/>
      <c r="D8" s="177"/>
      <c r="E8" s="177"/>
      <c r="F8" s="177"/>
      <c r="G8" s="271"/>
      <c r="H8" s="75"/>
      <c r="I8" s="70"/>
      <c r="J8" s="71"/>
      <c r="K8" s="71"/>
      <c r="L8" s="72"/>
      <c r="M8" s="140"/>
      <c r="N8" s="140"/>
      <c r="O8" s="140"/>
      <c r="P8" s="140"/>
      <c r="Q8" s="73"/>
      <c r="R8" s="73"/>
      <c r="S8" s="74"/>
      <c r="T8" s="74"/>
      <c r="U8" s="74"/>
      <c r="V8" s="74"/>
      <c r="W8" s="74"/>
      <c r="X8" s="74"/>
      <c r="Y8" s="74"/>
      <c r="Z8" s="74"/>
      <c r="AA8" s="74"/>
      <c r="AB8" s="74"/>
      <c r="AC8" s="74"/>
      <c r="AD8" s="74"/>
      <c r="AE8" s="141">
        <f t="shared" ref="AE8:AE39" si="0">FLOOR(AD8,1)</f>
        <v>0</v>
      </c>
      <c r="AF8" s="141">
        <f t="shared" ref="AF8:AF34" si="1">+AD8-AE8</f>
        <v>0</v>
      </c>
      <c r="AG8" s="141">
        <f t="shared" ref="AG8:AG39" si="2">+AF8/60*100</f>
        <v>0</v>
      </c>
      <c r="AH8" s="164">
        <f t="shared" ref="AH8:AH34" si="3">+AG8+AE8</f>
        <v>0</v>
      </c>
      <c r="AI8" s="74"/>
      <c r="AJ8" s="74"/>
      <c r="AK8" s="74"/>
      <c r="AL8" s="74"/>
      <c r="AM8" s="461"/>
      <c r="AN8" s="161"/>
      <c r="AO8" s="161"/>
      <c r="AP8" s="161"/>
      <c r="AQ8" s="161"/>
      <c r="AR8" s="161"/>
      <c r="AS8" s="161"/>
      <c r="AT8" s="161"/>
      <c r="AU8" s="161"/>
      <c r="AZ8" s="187"/>
      <c r="BA8" s="187"/>
      <c r="BB8" s="187"/>
      <c r="BC8" s="187"/>
      <c r="BD8" s="187"/>
      <c r="BE8" s="187"/>
      <c r="BG8" s="136"/>
      <c r="BH8" s="143"/>
      <c r="BI8" s="143"/>
      <c r="BJ8" s="143"/>
      <c r="BK8" s="143"/>
      <c r="BL8" s="166"/>
    </row>
    <row r="9" spans="1:66" ht="15.95" customHeight="1" x14ac:dyDescent="0.25">
      <c r="A9" s="83"/>
      <c r="B9" s="84">
        <f>IF($I9&lt;&gt;"",IF(WEEKDAY($I9,2)&lt;6,IF(VLOOKUP(WEEKDAY($I9,2),InputUge,3)&gt;0,IF($A9="",VLOOKUP(WEEKDAY($I9,2),InputUge,3)+MAX(B$8:B8),IF($A9&lt;VLOOKUP(WEEKDAY($I9,2),InputUge,3),$A9+MAX(B$8:B8),VLOOKUP(WEEKDAY($I9,2),InputUge,3)+MAX(B$8:B8))),""),""),"")</f>
        <v>7.0633333333333335</v>
      </c>
      <c r="C9" s="144">
        <f>IF(B9&lt;0,-1,1)</f>
        <v>1</v>
      </c>
      <c r="D9" s="146">
        <f>FLOOR(B9,C9)</f>
        <v>7</v>
      </c>
      <c r="E9" s="146">
        <f>+B9-D9</f>
        <v>6.3333333333333464E-2</v>
      </c>
      <c r="F9" s="146">
        <f>+E9/100*60</f>
        <v>3.8000000000000075E-2</v>
      </c>
      <c r="G9" s="261">
        <f t="shared" ref="G9:G39" si="4">+F9+D9</f>
        <v>7.0380000000000003</v>
      </c>
      <c r="H9" s="4">
        <v>1</v>
      </c>
      <c r="I9" s="16">
        <f>+Jun!I38+1</f>
        <v>41456</v>
      </c>
      <c r="J9" s="6">
        <v>0.34826388888888887</v>
      </c>
      <c r="K9" s="6">
        <v>0.64236111111111105</v>
      </c>
      <c r="L9" s="5">
        <f>IF(K9&gt;0,ROUND(((K9-J9)*24)-SUM(BR9:BS9)+BT9,2)+IF(Fredagsfrokost="n",IF(WEEKDAY($I9,2)=5,IF(K9&gt;=0.5,IF(K9&lt;=13/24,0,0),0),0),0),IF(AW9&gt;0,AW9,""))</f>
        <v>7.06</v>
      </c>
      <c r="M9" s="141">
        <f>FLOOR(L9,1)</f>
        <v>7</v>
      </c>
      <c r="N9" s="141">
        <f>+L9-M9</f>
        <v>5.9999999999999609E-2</v>
      </c>
      <c r="O9" s="141">
        <f>+N9/100*60</f>
        <v>3.5999999999999761E-2</v>
      </c>
      <c r="P9" s="162">
        <f>IF(J9="","",O9+M9)</f>
        <v>7.0359999999999996</v>
      </c>
      <c r="Q9" s="650"/>
      <c r="R9" s="651"/>
      <c r="S9" s="651"/>
      <c r="T9" s="652"/>
      <c r="U9" s="128"/>
      <c r="V9" s="240">
        <f t="shared" ref="V9:V39" si="5">FLOOR(U9,1)</f>
        <v>0</v>
      </c>
      <c r="W9" s="240">
        <f>+U9-V9</f>
        <v>0</v>
      </c>
      <c r="X9" s="240">
        <f t="shared" ref="X9:X39" si="6">+W9/60*100</f>
        <v>0</v>
      </c>
      <c r="Y9" s="242">
        <f>+X9+V9</f>
        <v>0</v>
      </c>
      <c r="Z9" s="128"/>
      <c r="AA9" s="128"/>
      <c r="AB9" s="128"/>
      <c r="AC9" s="128"/>
      <c r="AD9" s="122"/>
      <c r="AE9" s="240">
        <f t="shared" si="0"/>
        <v>0</v>
      </c>
      <c r="AF9" s="240">
        <f t="shared" si="1"/>
        <v>0</v>
      </c>
      <c r="AG9" s="240">
        <f t="shared" si="2"/>
        <v>0</v>
      </c>
      <c r="AH9" s="242">
        <f t="shared" si="3"/>
        <v>0</v>
      </c>
      <c r="AI9" s="128"/>
      <c r="AJ9" s="128"/>
      <c r="AK9" s="128"/>
      <c r="AL9" s="128"/>
      <c r="AM9" s="478"/>
      <c r="AN9" s="240">
        <f t="shared" ref="AN9:AN38" si="7">FLOOR(AM9,1)</f>
        <v>0</v>
      </c>
      <c r="AO9" s="240">
        <f t="shared" ref="AO9:AO39" si="8">+AM9-AN9</f>
        <v>0</v>
      </c>
      <c r="AP9" s="240">
        <f t="shared" ref="AP9:AP39" si="9">+AO9/60*100</f>
        <v>0</v>
      </c>
      <c r="AQ9" s="242">
        <f>+AP9+AN9</f>
        <v>0</v>
      </c>
      <c r="AR9" s="245"/>
      <c r="AS9" s="245"/>
      <c r="AT9" s="245"/>
      <c r="AU9" s="180"/>
      <c r="AZ9" s="189"/>
      <c r="BA9" s="189"/>
      <c r="BB9" s="189"/>
      <c r="BC9" s="189"/>
      <c r="BD9" s="189"/>
      <c r="BE9" s="189"/>
      <c r="BG9" s="145">
        <f>IF($K9&gt;=0,+SUM(L$9:$L9)-$B9+Jul!$AZ$41+SUM(AQ$9:$AQ9)," ")</f>
        <v>-3.3333333333338544E-3</v>
      </c>
      <c r="BH9" s="144">
        <f>IF(BG9&lt;0,-1,1)</f>
        <v>-1</v>
      </c>
      <c r="BI9" s="146">
        <f>FLOOR(BG9,BH9)</f>
        <v>0</v>
      </c>
      <c r="BJ9" s="146">
        <f>+BG9-BI9</f>
        <v>-3.3333333333338544E-3</v>
      </c>
      <c r="BK9" s="146">
        <f>+BJ9/100*60</f>
        <v>-2.0000000000003127E-3</v>
      </c>
      <c r="BL9" s="164">
        <f t="shared" ref="BL9:BL39" si="10">IF(BN9=2,+BK9+BI9,"")</f>
        <v>-2.0000000000003127E-3</v>
      </c>
      <c r="BM9" s="157">
        <f>+P9</f>
        <v>7.0359999999999996</v>
      </c>
      <c r="BN9">
        <f t="shared" ref="BN9:BN39" si="11">+IF(BM9="",1,2)</f>
        <v>2</v>
      </c>
    </row>
    <row r="10" spans="1:66" ht="15.95" customHeight="1" x14ac:dyDescent="0.25">
      <c r="A10" s="83"/>
      <c r="B10" s="84">
        <f>IF($I10&lt;&gt;"",IF(WEEKDAY($I10,2)&lt;6,IF(VLOOKUP(WEEKDAY($I10,2),InputUge,3)&gt;0,IF($A10="",VLOOKUP(WEEKDAY($I10,2),InputUge,3)+MAX(B$8:B9),IF($A10&lt;VLOOKUP(WEEKDAY($I10,2),InputUge,3),$A10+MAX(B$8:B9),VLOOKUP(WEEKDAY($I10,2),InputUge,3)+MAX(B$8:B9))),""),""),"")</f>
        <v>14.129999999999999</v>
      </c>
      <c r="C10" s="144">
        <f t="shared" ref="C10:C39" si="12">IF(B10&lt;0,-1,1)</f>
        <v>1</v>
      </c>
      <c r="D10" s="146">
        <f t="shared" ref="D10:D39" si="13">FLOOR(B10,C10)</f>
        <v>14</v>
      </c>
      <c r="E10" s="146">
        <f t="shared" ref="E10:E39" si="14">+B10-D10</f>
        <v>0.12999999999999901</v>
      </c>
      <c r="F10" s="146">
        <f t="shared" ref="F10:F39" si="15">+E10/100*60</f>
        <v>7.7999999999999403E-2</v>
      </c>
      <c r="G10" s="261">
        <f t="shared" si="4"/>
        <v>14.077999999999999</v>
      </c>
      <c r="H10" s="4">
        <v>2</v>
      </c>
      <c r="I10" s="16">
        <f t="shared" ref="I10:I39" si="16">+I9+1</f>
        <v>41457</v>
      </c>
      <c r="J10" s="6">
        <v>0.34791666666666665</v>
      </c>
      <c r="K10" s="6">
        <v>0.64236111111111105</v>
      </c>
      <c r="L10" s="5">
        <f>IF(K10&gt;0,ROUND(((K10-J10)*24)-SUM(BR10:BS10)+BT10,2)+IF(Fredagsfrokost="n",IF(WEEKDAY($I10,2)=5,IF(K10&gt;=0.5,IF(K10&lt;=13/24,0,0),0),0),0),IF(AW10&gt;0,AW10,""))</f>
        <v>7.07</v>
      </c>
      <c r="M10" s="141">
        <f>FLOOR(L10,1)</f>
        <v>7</v>
      </c>
      <c r="N10" s="141">
        <f>+L10-M10</f>
        <v>7.0000000000000284E-2</v>
      </c>
      <c r="O10" s="141">
        <f>+N10/100*60</f>
        <v>4.2000000000000169E-2</v>
      </c>
      <c r="P10" s="162">
        <f>IF(J10="","",O10+M10)</f>
        <v>7.0419999999999998</v>
      </c>
      <c r="Q10" s="650"/>
      <c r="R10" s="651"/>
      <c r="S10" s="651"/>
      <c r="T10" s="652"/>
      <c r="U10" s="128"/>
      <c r="V10" s="240">
        <f t="shared" si="5"/>
        <v>0</v>
      </c>
      <c r="W10" s="240">
        <f t="shared" ref="W10:W39" si="17">+U10-V10</f>
        <v>0</v>
      </c>
      <c r="X10" s="240">
        <f t="shared" si="6"/>
        <v>0</v>
      </c>
      <c r="Y10" s="242">
        <f t="shared" ref="Y10:Y39" si="18">+X10+V10</f>
        <v>0</v>
      </c>
      <c r="Z10" s="128"/>
      <c r="AA10" s="128"/>
      <c r="AB10" s="128"/>
      <c r="AC10" s="128"/>
      <c r="AD10" s="122"/>
      <c r="AE10" s="240">
        <f t="shared" si="0"/>
        <v>0</v>
      </c>
      <c r="AF10" s="240">
        <f t="shared" si="1"/>
        <v>0</v>
      </c>
      <c r="AG10" s="240">
        <f t="shared" si="2"/>
        <v>0</v>
      </c>
      <c r="AH10" s="242">
        <f t="shared" si="3"/>
        <v>0</v>
      </c>
      <c r="AI10" s="128"/>
      <c r="AJ10" s="128"/>
      <c r="AK10" s="128"/>
      <c r="AL10" s="128"/>
      <c r="AM10" s="478"/>
      <c r="AN10" s="240">
        <f t="shared" si="7"/>
        <v>0</v>
      </c>
      <c r="AO10" s="240">
        <f t="shared" si="8"/>
        <v>0</v>
      </c>
      <c r="AP10" s="240">
        <f t="shared" si="9"/>
        <v>0</v>
      </c>
      <c r="AQ10" s="242">
        <f t="shared" ref="AQ10:AQ39" si="19">+AP10+AN10</f>
        <v>0</v>
      </c>
      <c r="AR10" s="245"/>
      <c r="AS10" s="245"/>
      <c r="AT10" s="245"/>
      <c r="AU10" s="180"/>
      <c r="AZ10" s="189"/>
      <c r="BA10" s="189"/>
      <c r="BB10" s="189"/>
      <c r="BC10" s="189"/>
      <c r="BD10" s="189"/>
      <c r="BE10" s="189"/>
      <c r="BG10" s="145">
        <f>IF($K10&gt;=0,+SUM(L$9:$L10)-$B10+Jul!$AZ$41+SUM(AQ$9:$AQ10)," ")</f>
        <v>0</v>
      </c>
      <c r="BH10" s="144">
        <f t="shared" ref="BH10:BH39" si="20">IF(BG10&lt;0,-1,1)</f>
        <v>1</v>
      </c>
      <c r="BI10" s="146">
        <f t="shared" ref="BI10:BI39" si="21">FLOOR(BG10,BH10)</f>
        <v>0</v>
      </c>
      <c r="BJ10" s="146">
        <f t="shared" ref="BJ10:BJ39" si="22">+BG10-BI10</f>
        <v>0</v>
      </c>
      <c r="BK10" s="146">
        <f t="shared" ref="BK10:BK39" si="23">+BJ10/100*60</f>
        <v>0</v>
      </c>
      <c r="BL10" s="164">
        <f t="shared" si="10"/>
        <v>0</v>
      </c>
      <c r="BM10" s="157">
        <f t="shared" ref="BM10:BM39" si="24">+P10</f>
        <v>7.0419999999999998</v>
      </c>
      <c r="BN10">
        <f t="shared" si="11"/>
        <v>2</v>
      </c>
    </row>
    <row r="11" spans="1:66" ht="15.95" customHeight="1" x14ac:dyDescent="0.25">
      <c r="A11" s="83"/>
      <c r="B11" s="84">
        <f>IF($I11&lt;&gt;"",IF(WEEKDAY($I11,2)&lt;6,IF(VLOOKUP(WEEKDAY($I11,2),InputUge,3)&gt;0,IF($A11="",VLOOKUP(WEEKDAY($I11,2),InputUge,3)+MAX(B$8:B10),IF($A11&lt;VLOOKUP(WEEKDAY($I11,2),InputUge,3),$A11+MAX(B$8:B10),VLOOKUP(WEEKDAY($I11,2),InputUge,3)+MAX(B$8:B10))),""),""),"")</f>
        <v>21.196666666666665</v>
      </c>
      <c r="C11" s="144">
        <f t="shared" si="12"/>
        <v>1</v>
      </c>
      <c r="D11" s="146">
        <f t="shared" si="13"/>
        <v>21</v>
      </c>
      <c r="E11" s="146">
        <f t="shared" si="14"/>
        <v>0.19666666666666544</v>
      </c>
      <c r="F11" s="146">
        <f t="shared" si="15"/>
        <v>0.11799999999999926</v>
      </c>
      <c r="G11" s="261">
        <f t="shared" si="4"/>
        <v>21.117999999999999</v>
      </c>
      <c r="H11" s="4">
        <v>3</v>
      </c>
      <c r="I11" s="16">
        <f t="shared" si="16"/>
        <v>41458</v>
      </c>
      <c r="J11" s="6">
        <v>0.34791666666666665</v>
      </c>
      <c r="K11" s="6">
        <v>0.64236111111111105</v>
      </c>
      <c r="L11" s="5">
        <f>IF(K11&gt;0,ROUND(((K11-J11)*24)-SUM(BR11:BS11)+BT11,2)+IF(Fredagsfrokost="n",IF(WEEKDAY($I11,2)=5,IF(K11&gt;=0.5,IF(K11&lt;=13/24,0,0),0),0),0),IF(AW11&gt;0,AW11,""))</f>
        <v>7.07</v>
      </c>
      <c r="M11" s="141">
        <f>FLOOR(L11,1)</f>
        <v>7</v>
      </c>
      <c r="N11" s="141">
        <f>+L11-M11</f>
        <v>7.0000000000000284E-2</v>
      </c>
      <c r="O11" s="141">
        <f>+N11/100*60</f>
        <v>4.2000000000000169E-2</v>
      </c>
      <c r="P11" s="162">
        <f>IF(J11="","",O11+M11)</f>
        <v>7.0419999999999998</v>
      </c>
      <c r="Q11" s="591"/>
      <c r="R11" s="592"/>
      <c r="S11" s="592"/>
      <c r="T11" s="593"/>
      <c r="U11" s="417"/>
      <c r="V11" s="240">
        <f t="shared" si="5"/>
        <v>0</v>
      </c>
      <c r="W11" s="240">
        <f t="shared" si="17"/>
        <v>0</v>
      </c>
      <c r="X11" s="240">
        <f t="shared" si="6"/>
        <v>0</v>
      </c>
      <c r="Y11" s="242">
        <f t="shared" si="18"/>
        <v>0</v>
      </c>
      <c r="Z11" s="417"/>
      <c r="AA11" s="417"/>
      <c r="AB11" s="417"/>
      <c r="AC11" s="417"/>
      <c r="AD11" s="417"/>
      <c r="AE11" s="240">
        <f t="shared" si="0"/>
        <v>0</v>
      </c>
      <c r="AF11" s="240">
        <f t="shared" si="1"/>
        <v>0</v>
      </c>
      <c r="AG11" s="240">
        <f t="shared" si="2"/>
        <v>0</v>
      </c>
      <c r="AH11" s="242">
        <f t="shared" si="3"/>
        <v>0</v>
      </c>
      <c r="AI11" s="417"/>
      <c r="AJ11" s="417"/>
      <c r="AK11" s="417"/>
      <c r="AL11" s="417"/>
      <c r="AM11" s="472"/>
      <c r="AN11" s="240">
        <f t="shared" si="7"/>
        <v>0</v>
      </c>
      <c r="AO11" s="240">
        <f t="shared" si="8"/>
        <v>0</v>
      </c>
      <c r="AP11" s="240">
        <f t="shared" si="9"/>
        <v>0</v>
      </c>
      <c r="AQ11" s="242">
        <f t="shared" si="19"/>
        <v>0</v>
      </c>
      <c r="AR11" s="245"/>
      <c r="AS11" s="245"/>
      <c r="AT11" s="245"/>
      <c r="AU11" s="420"/>
      <c r="AZ11" s="189"/>
      <c r="BA11" s="189"/>
      <c r="BB11" s="189"/>
      <c r="BC11" s="189"/>
      <c r="BD11" s="189"/>
      <c r="BE11" s="189"/>
      <c r="BG11" s="145">
        <f>IF($K11&gt;=0,+SUM(L$9:$L11)-$B11+Jul!$AZ$41+SUM(AQ$9:$AQ11)," ")</f>
        <v>3.3333333333338544E-3</v>
      </c>
      <c r="BH11" s="144">
        <f t="shared" si="20"/>
        <v>1</v>
      </c>
      <c r="BI11" s="146">
        <f t="shared" si="21"/>
        <v>0</v>
      </c>
      <c r="BJ11" s="146">
        <f t="shared" si="22"/>
        <v>3.3333333333338544E-3</v>
      </c>
      <c r="BK11" s="146">
        <f t="shared" si="23"/>
        <v>2.0000000000003127E-3</v>
      </c>
      <c r="BL11" s="164">
        <f>IF(BN11=2,+BK11+BI11,"")</f>
        <v>2.0000000000003127E-3</v>
      </c>
      <c r="BM11" s="157">
        <f>+P11</f>
        <v>7.0419999999999998</v>
      </c>
      <c r="BN11">
        <f t="shared" si="11"/>
        <v>2</v>
      </c>
    </row>
    <row r="12" spans="1:66" ht="15.95" customHeight="1" x14ac:dyDescent="0.25">
      <c r="A12" s="83"/>
      <c r="B12" s="84">
        <f>IF($I12&lt;&gt;"",IF(WEEKDAY($I12,2)&lt;6,IF(VLOOKUP(WEEKDAY($I12,2),InputUge,3)&gt;0,IF($A12="",VLOOKUP(WEEKDAY($I12,2),InputUge,3)+MAX(B$8:B11),IF($A12&lt;VLOOKUP(WEEKDAY($I12,2),InputUge,3),$A12+MAX(B$8:B11),VLOOKUP(WEEKDAY($I12,2),InputUge,3)+MAX(B$8:B11))),""),""),"")</f>
        <v>30.606666666666666</v>
      </c>
      <c r="C12" s="144">
        <f t="shared" si="12"/>
        <v>1</v>
      </c>
      <c r="D12" s="146">
        <f t="shared" si="13"/>
        <v>30</v>
      </c>
      <c r="E12" s="146">
        <f t="shared" si="14"/>
        <v>0.60666666666666558</v>
      </c>
      <c r="F12" s="146">
        <f t="shared" si="15"/>
        <v>0.36399999999999938</v>
      </c>
      <c r="G12" s="261">
        <f t="shared" si="4"/>
        <v>30.364000000000001</v>
      </c>
      <c r="H12" s="4">
        <v>4</v>
      </c>
      <c r="I12" s="16">
        <f t="shared" si="16"/>
        <v>41459</v>
      </c>
      <c r="J12" s="6">
        <v>0.34791666666666665</v>
      </c>
      <c r="K12" s="6">
        <v>0.73958333333333337</v>
      </c>
      <c r="L12" s="5">
        <f>IF(K12&gt;0,ROUND(((K12-J12)*24)-SUM(BR12:BS12)+BT12,2)+IF(Fredagsfrokost="n",IF(WEEKDAY($I12,2)=5,IF(K12&gt;=0.5,IF(K12&lt;=13/24,0,0),0),0),0),IF(AW12&gt;0,AW12,""))</f>
        <v>9.4</v>
      </c>
      <c r="M12" s="141">
        <f>FLOOR(L12,1)</f>
        <v>9</v>
      </c>
      <c r="N12" s="141">
        <f>+L12-M12</f>
        <v>0.40000000000000036</v>
      </c>
      <c r="O12" s="141">
        <f>+N12/100*60</f>
        <v>0.24000000000000021</v>
      </c>
      <c r="P12" s="162">
        <f>IF(J12="","",O12+M12)</f>
        <v>9.24</v>
      </c>
      <c r="Q12" s="591"/>
      <c r="R12" s="592"/>
      <c r="S12" s="592"/>
      <c r="T12" s="593"/>
      <c r="U12" s="417"/>
      <c r="V12" s="240">
        <f t="shared" si="5"/>
        <v>0</v>
      </c>
      <c r="W12" s="240">
        <f t="shared" si="17"/>
        <v>0</v>
      </c>
      <c r="X12" s="240">
        <f t="shared" si="6"/>
        <v>0</v>
      </c>
      <c r="Y12" s="242">
        <f t="shared" si="18"/>
        <v>0</v>
      </c>
      <c r="Z12" s="417"/>
      <c r="AA12" s="417"/>
      <c r="AB12" s="417"/>
      <c r="AC12" s="417"/>
      <c r="AD12" s="417"/>
      <c r="AE12" s="240">
        <f t="shared" si="0"/>
        <v>0</v>
      </c>
      <c r="AF12" s="240">
        <f t="shared" si="1"/>
        <v>0</v>
      </c>
      <c r="AG12" s="240">
        <f t="shared" si="2"/>
        <v>0</v>
      </c>
      <c r="AH12" s="242">
        <f t="shared" si="3"/>
        <v>0</v>
      </c>
      <c r="AI12" s="417"/>
      <c r="AJ12" s="417"/>
      <c r="AK12" s="417"/>
      <c r="AL12" s="417"/>
      <c r="AM12" s="472"/>
      <c r="AN12" s="240">
        <f t="shared" si="7"/>
        <v>0</v>
      </c>
      <c r="AO12" s="240">
        <f t="shared" si="8"/>
        <v>0</v>
      </c>
      <c r="AP12" s="240">
        <f t="shared" si="9"/>
        <v>0</v>
      </c>
      <c r="AQ12" s="242">
        <f t="shared" si="19"/>
        <v>0</v>
      </c>
      <c r="AR12" s="245"/>
      <c r="AS12" s="245"/>
      <c r="AT12" s="245"/>
      <c r="AU12" s="420"/>
      <c r="AZ12" s="189"/>
      <c r="BA12" s="189"/>
      <c r="BB12" s="189"/>
      <c r="BC12" s="189"/>
      <c r="BD12" s="189"/>
      <c r="BE12" s="189"/>
      <c r="BG12" s="145">
        <f>IF($K12&gt;=0,+SUM(L$9:$L12)-$B12+Jul!$AZ$41+SUM(AQ$9:$AQ12)," ")</f>
        <v>-6.6666666666641561E-3</v>
      </c>
      <c r="BH12" s="144">
        <f t="shared" si="20"/>
        <v>-1</v>
      </c>
      <c r="BI12" s="146">
        <f t="shared" si="21"/>
        <v>0</v>
      </c>
      <c r="BJ12" s="146">
        <f t="shared" si="22"/>
        <v>-6.6666666666641561E-3</v>
      </c>
      <c r="BK12" s="146">
        <f t="shared" si="23"/>
        <v>-3.9999999999984935E-3</v>
      </c>
      <c r="BL12" s="164">
        <f>IF(BN12=2,+BK12+BI12,"")</f>
        <v>-3.9999999999984935E-3</v>
      </c>
      <c r="BM12" s="157">
        <f>+P12</f>
        <v>9.24</v>
      </c>
      <c r="BN12">
        <f t="shared" si="11"/>
        <v>2</v>
      </c>
    </row>
    <row r="13" spans="1:66" ht="15.95" customHeight="1" x14ac:dyDescent="0.25">
      <c r="A13" s="83"/>
      <c r="B13" s="84">
        <f>IF($I13&lt;&gt;"",IF(WEEKDAY($I13,2)&lt;6,IF(VLOOKUP(WEEKDAY($I13,2),InputUge,3)&gt;0,IF($A13="",VLOOKUP(WEEKDAY($I13,2),InputUge,3)+MAX(B$8:B12),IF($A13&lt;VLOOKUP(WEEKDAY($I13,2),InputUge,3),$A13+MAX(B$8:B12),VLOOKUP(WEEKDAY($I13,2),InputUge,3)+MAX(B$8:B12))),""),""),"")</f>
        <v>37.006666666666668</v>
      </c>
      <c r="C13" s="144">
        <f t="shared" si="12"/>
        <v>1</v>
      </c>
      <c r="D13" s="146">
        <f t="shared" si="13"/>
        <v>37</v>
      </c>
      <c r="E13" s="146">
        <f t="shared" si="14"/>
        <v>6.6666666666677088E-3</v>
      </c>
      <c r="F13" s="146">
        <f t="shared" si="15"/>
        <v>4.0000000000006255E-3</v>
      </c>
      <c r="G13" s="261">
        <f t="shared" si="4"/>
        <v>37.003999999999998</v>
      </c>
      <c r="H13" s="4">
        <v>5</v>
      </c>
      <c r="I13" s="16">
        <f t="shared" si="16"/>
        <v>41460</v>
      </c>
      <c r="J13" s="6">
        <v>0.34791666666666665</v>
      </c>
      <c r="K13" s="6">
        <v>0.61458333333333337</v>
      </c>
      <c r="L13" s="5">
        <f>IF(K13&gt;0,ROUND(((K13-J13)*24)-SUM(BR13:BS13)+BT13,2)+IF(Fredagsfrokost="n",IF(WEEKDAY($I13,2)=5,IF(K13&gt;=0.5,IF(K13&lt;=13/24,0,0),0),0),0),IF(AW13&gt;0,AW13,""))</f>
        <v>6.4</v>
      </c>
      <c r="M13" s="141">
        <f>FLOOR(L13,1)</f>
        <v>6</v>
      </c>
      <c r="N13" s="141">
        <f>+L13-M13</f>
        <v>0.40000000000000036</v>
      </c>
      <c r="O13" s="141">
        <f>+N13/100*60</f>
        <v>0.24000000000000021</v>
      </c>
      <c r="P13" s="162">
        <f>IF(J13="","",O13+M13)</f>
        <v>6.24</v>
      </c>
      <c r="Q13" s="591"/>
      <c r="R13" s="592"/>
      <c r="S13" s="592"/>
      <c r="T13" s="593"/>
      <c r="U13" s="417"/>
      <c r="V13" s="240">
        <f t="shared" si="5"/>
        <v>0</v>
      </c>
      <c r="W13" s="240">
        <f t="shared" si="17"/>
        <v>0</v>
      </c>
      <c r="X13" s="240">
        <f t="shared" si="6"/>
        <v>0</v>
      </c>
      <c r="Y13" s="242">
        <f t="shared" si="18"/>
        <v>0</v>
      </c>
      <c r="Z13" s="417"/>
      <c r="AA13" s="417"/>
      <c r="AB13" s="417"/>
      <c r="AC13" s="417"/>
      <c r="AD13" s="417"/>
      <c r="AE13" s="240">
        <f t="shared" si="0"/>
        <v>0</v>
      </c>
      <c r="AF13" s="240">
        <f t="shared" si="1"/>
        <v>0</v>
      </c>
      <c r="AG13" s="240">
        <f t="shared" si="2"/>
        <v>0</v>
      </c>
      <c r="AH13" s="242">
        <f t="shared" si="3"/>
        <v>0</v>
      </c>
      <c r="AI13" s="417"/>
      <c r="AJ13" s="417"/>
      <c r="AK13" s="417"/>
      <c r="AL13" s="417"/>
      <c r="AM13" s="472"/>
      <c r="AN13" s="240">
        <f t="shared" si="7"/>
        <v>0</v>
      </c>
      <c r="AO13" s="240">
        <f t="shared" si="8"/>
        <v>0</v>
      </c>
      <c r="AP13" s="240">
        <f t="shared" si="9"/>
        <v>0</v>
      </c>
      <c r="AQ13" s="242">
        <f t="shared" si="19"/>
        <v>0</v>
      </c>
      <c r="AR13" s="245"/>
      <c r="AS13" s="245"/>
      <c r="AT13" s="245"/>
      <c r="AU13" s="240"/>
      <c r="AZ13" s="189"/>
      <c r="BA13" s="189"/>
      <c r="BB13" s="189"/>
      <c r="BC13" s="189"/>
      <c r="BD13" s="189"/>
      <c r="BE13" s="189"/>
      <c r="BG13" s="145">
        <f>IF($K13&gt;=0,+SUM(L$9:$L13)-$B13+Jul!$AZ$41+SUM(AQ$9:$AQ13)," ")</f>
        <v>-6.6666666666677088E-3</v>
      </c>
      <c r="BH13" s="144">
        <f t="shared" si="20"/>
        <v>-1</v>
      </c>
      <c r="BI13" s="146">
        <f t="shared" si="21"/>
        <v>0</v>
      </c>
      <c r="BJ13" s="146">
        <f t="shared" si="22"/>
        <v>-6.6666666666677088E-3</v>
      </c>
      <c r="BK13" s="146">
        <f t="shared" si="23"/>
        <v>-4.0000000000006255E-3</v>
      </c>
      <c r="BL13" s="164">
        <f t="shared" si="10"/>
        <v>-4.0000000000006255E-3</v>
      </c>
      <c r="BM13" s="157">
        <f t="shared" si="24"/>
        <v>6.24</v>
      </c>
      <c r="BN13">
        <f t="shared" si="11"/>
        <v>2</v>
      </c>
    </row>
    <row r="14" spans="1:66" ht="15.95" customHeight="1" x14ac:dyDescent="0.25">
      <c r="A14" s="83"/>
      <c r="B14" s="84" t="str">
        <f>IF($I14&lt;&gt;"",IF(WEEKDAY($I14,2)&lt;6,IF(VLOOKUP(WEEKDAY($I14,2),InputUge,3)&gt;0,IF($A14="",VLOOKUP(WEEKDAY($I14,2),InputUge,3)+MAX(B$8:B13),IF($A14&lt;VLOOKUP(WEEKDAY($I14,2),InputUge,3),$A14+MAX(B$8:B13),VLOOKUP(WEEKDAY($I14,2),InputUge,3)+MAX(B$8:B13))),""),""),"")</f>
        <v/>
      </c>
      <c r="C14" s="144">
        <f t="shared" si="12"/>
        <v>1</v>
      </c>
      <c r="D14" s="146" t="e">
        <f t="shared" si="13"/>
        <v>#VALUE!</v>
      </c>
      <c r="E14" s="146" t="e">
        <f t="shared" si="14"/>
        <v>#VALUE!</v>
      </c>
      <c r="F14" s="146" t="e">
        <f t="shared" si="15"/>
        <v>#VALUE!</v>
      </c>
      <c r="G14" s="261"/>
      <c r="H14" s="4">
        <v>6</v>
      </c>
      <c r="I14" s="16">
        <f t="shared" si="16"/>
        <v>41461</v>
      </c>
      <c r="J14" s="6"/>
      <c r="K14" s="6"/>
      <c r="L14" s="5"/>
      <c r="M14" s="141"/>
      <c r="N14" s="141"/>
      <c r="O14" s="141"/>
      <c r="P14" s="162"/>
      <c r="Q14" s="591"/>
      <c r="R14" s="592"/>
      <c r="S14" s="592"/>
      <c r="T14" s="593"/>
      <c r="U14" s="417"/>
      <c r="V14" s="240">
        <f t="shared" si="5"/>
        <v>0</v>
      </c>
      <c r="W14" s="240">
        <f t="shared" si="17"/>
        <v>0</v>
      </c>
      <c r="X14" s="240">
        <f t="shared" si="6"/>
        <v>0</v>
      </c>
      <c r="Y14" s="242">
        <f t="shared" si="18"/>
        <v>0</v>
      </c>
      <c r="Z14" s="417"/>
      <c r="AA14" s="417"/>
      <c r="AB14" s="417"/>
      <c r="AC14" s="417"/>
      <c r="AD14" s="417"/>
      <c r="AE14" s="240">
        <f t="shared" si="0"/>
        <v>0</v>
      </c>
      <c r="AF14" s="240">
        <f t="shared" si="1"/>
        <v>0</v>
      </c>
      <c r="AG14" s="240">
        <f t="shared" si="2"/>
        <v>0</v>
      </c>
      <c r="AH14" s="242">
        <f t="shared" si="3"/>
        <v>0</v>
      </c>
      <c r="AI14" s="417"/>
      <c r="AJ14" s="417"/>
      <c r="AK14" s="417"/>
      <c r="AL14" s="417"/>
      <c r="AM14" s="472"/>
      <c r="AN14" s="240">
        <f t="shared" si="7"/>
        <v>0</v>
      </c>
      <c r="AO14" s="240">
        <f t="shared" si="8"/>
        <v>0</v>
      </c>
      <c r="AP14" s="240">
        <f t="shared" si="9"/>
        <v>0</v>
      </c>
      <c r="AQ14" s="242">
        <f t="shared" si="19"/>
        <v>0</v>
      </c>
      <c r="AR14" s="245"/>
      <c r="AS14" s="245"/>
      <c r="AT14" s="245"/>
      <c r="AU14" s="420"/>
      <c r="AZ14" s="189"/>
      <c r="BA14" s="189"/>
      <c r="BB14" s="189"/>
      <c r="BC14" s="189"/>
      <c r="BD14" s="189"/>
      <c r="BE14" s="189"/>
      <c r="BG14" s="145" t="e">
        <f>IF($K14&gt;=0,+SUM(L$9:$L14)-$B14+Jul!$AZ$41+SUM(AQ$9:$AQ14)," ")</f>
        <v>#VALUE!</v>
      </c>
      <c r="BH14" s="144" t="e">
        <f t="shared" si="20"/>
        <v>#VALUE!</v>
      </c>
      <c r="BI14" s="146" t="e">
        <f t="shared" si="21"/>
        <v>#VALUE!</v>
      </c>
      <c r="BJ14" s="146" t="e">
        <f t="shared" si="22"/>
        <v>#VALUE!</v>
      </c>
      <c r="BK14" s="146" t="e">
        <f t="shared" si="23"/>
        <v>#VALUE!</v>
      </c>
      <c r="BL14" s="164"/>
      <c r="BM14" s="157">
        <f t="shared" si="24"/>
        <v>0</v>
      </c>
      <c r="BN14">
        <f t="shared" si="11"/>
        <v>2</v>
      </c>
    </row>
    <row r="15" spans="1:66" ht="15.95" customHeight="1" x14ac:dyDescent="0.25">
      <c r="A15" s="83"/>
      <c r="B15" s="84" t="str">
        <f>IF($I15&lt;&gt;"",IF(WEEKDAY($I15,2)&lt;6,IF(VLOOKUP(WEEKDAY($I15,2),InputUge,3)&gt;0,IF($A15="",VLOOKUP(WEEKDAY($I15,2),InputUge,3)+MAX(B$8:B14),IF($A15&lt;VLOOKUP(WEEKDAY($I15,2),InputUge,3),$A15+MAX(B$8:B14),VLOOKUP(WEEKDAY($I15,2),InputUge,3)+MAX(B$8:B14))),""),""),"")</f>
        <v/>
      </c>
      <c r="C15" s="144">
        <f t="shared" si="12"/>
        <v>1</v>
      </c>
      <c r="D15" s="146" t="e">
        <f t="shared" si="13"/>
        <v>#VALUE!</v>
      </c>
      <c r="E15" s="146" t="e">
        <f t="shared" si="14"/>
        <v>#VALUE!</v>
      </c>
      <c r="F15" s="146" t="e">
        <f t="shared" si="15"/>
        <v>#VALUE!</v>
      </c>
      <c r="G15" s="261"/>
      <c r="H15" s="4">
        <v>7</v>
      </c>
      <c r="I15" s="16">
        <f t="shared" si="16"/>
        <v>41462</v>
      </c>
      <c r="J15" s="6"/>
      <c r="K15" s="6"/>
      <c r="L15" s="5"/>
      <c r="M15" s="141"/>
      <c r="N15" s="141"/>
      <c r="O15" s="141"/>
      <c r="P15" s="141"/>
      <c r="Q15" s="591"/>
      <c r="R15" s="592"/>
      <c r="S15" s="592"/>
      <c r="T15" s="593"/>
      <c r="U15" s="417"/>
      <c r="V15" s="240">
        <f t="shared" si="5"/>
        <v>0</v>
      </c>
      <c r="W15" s="240">
        <f t="shared" si="17"/>
        <v>0</v>
      </c>
      <c r="X15" s="240">
        <f t="shared" si="6"/>
        <v>0</v>
      </c>
      <c r="Y15" s="242">
        <f t="shared" si="18"/>
        <v>0</v>
      </c>
      <c r="Z15" s="417"/>
      <c r="AA15" s="417"/>
      <c r="AB15" s="417"/>
      <c r="AC15" s="417"/>
      <c r="AD15" s="417"/>
      <c r="AE15" s="240">
        <f t="shared" si="0"/>
        <v>0</v>
      </c>
      <c r="AF15" s="240">
        <f t="shared" si="1"/>
        <v>0</v>
      </c>
      <c r="AG15" s="240">
        <f t="shared" si="2"/>
        <v>0</v>
      </c>
      <c r="AH15" s="242">
        <f t="shared" si="3"/>
        <v>0</v>
      </c>
      <c r="AI15" s="417"/>
      <c r="AJ15" s="417"/>
      <c r="AK15" s="417"/>
      <c r="AL15" s="417"/>
      <c r="AM15" s="472"/>
      <c r="AN15" s="240">
        <f t="shared" si="7"/>
        <v>0</v>
      </c>
      <c r="AO15" s="240">
        <f t="shared" si="8"/>
        <v>0</v>
      </c>
      <c r="AP15" s="240">
        <f t="shared" si="9"/>
        <v>0</v>
      </c>
      <c r="AQ15" s="242">
        <f t="shared" si="19"/>
        <v>0</v>
      </c>
      <c r="AR15" s="245"/>
      <c r="AS15" s="245"/>
      <c r="AT15" s="245"/>
      <c r="AU15" s="420"/>
      <c r="AZ15" s="189"/>
      <c r="BA15" s="189"/>
      <c r="BB15" s="189"/>
      <c r="BC15" s="189"/>
      <c r="BD15" s="189"/>
      <c r="BE15" s="189"/>
      <c r="BG15" s="145" t="e">
        <f>IF($K15&gt;=0,+SUM(L$9:$L15)-$B15+Jul!$AZ$41+SUM(AQ$9:$AQ15)," ")</f>
        <v>#VALUE!</v>
      </c>
      <c r="BH15" s="144" t="e">
        <f t="shared" si="20"/>
        <v>#VALUE!</v>
      </c>
      <c r="BI15" s="146" t="e">
        <f t="shared" si="21"/>
        <v>#VALUE!</v>
      </c>
      <c r="BJ15" s="146" t="e">
        <f t="shared" si="22"/>
        <v>#VALUE!</v>
      </c>
      <c r="BK15" s="146" t="e">
        <f t="shared" si="23"/>
        <v>#VALUE!</v>
      </c>
      <c r="BL15" s="164"/>
      <c r="BM15" s="157">
        <f t="shared" si="24"/>
        <v>0</v>
      </c>
      <c r="BN15">
        <f t="shared" si="11"/>
        <v>2</v>
      </c>
    </row>
    <row r="16" spans="1:66" ht="15.95" customHeight="1" x14ac:dyDescent="0.25">
      <c r="A16" s="83"/>
      <c r="B16" s="84">
        <f>IF($I16&lt;&gt;"",IF(WEEKDAY($I16,2)&lt;6,IF(VLOOKUP(WEEKDAY($I16,2),InputUge,3)&gt;0,IF($A16="",VLOOKUP(WEEKDAY($I16,2),InputUge,3)+MAX(B$8:B15),IF($A16&lt;VLOOKUP(WEEKDAY($I16,2),InputUge,3),$A16+MAX(B$8:B15),VLOOKUP(WEEKDAY($I16,2),InputUge,3)+MAX(B$8:B15))),""),""),"")</f>
        <v>44.07</v>
      </c>
      <c r="C16" s="144">
        <f t="shared" si="12"/>
        <v>1</v>
      </c>
      <c r="D16" s="146">
        <f t="shared" si="13"/>
        <v>44</v>
      </c>
      <c r="E16" s="146">
        <f t="shared" si="14"/>
        <v>7.0000000000000284E-2</v>
      </c>
      <c r="F16" s="146">
        <f t="shared" si="15"/>
        <v>4.2000000000000169E-2</v>
      </c>
      <c r="G16" s="261"/>
      <c r="H16" s="4">
        <v>8</v>
      </c>
      <c r="I16" s="16">
        <f t="shared" si="16"/>
        <v>41463</v>
      </c>
      <c r="J16" s="6">
        <v>0.34826388888888887</v>
      </c>
      <c r="K16" s="6">
        <v>0.64265046296296291</v>
      </c>
      <c r="L16" s="5">
        <f>IF(K16&gt;0,ROUND(((K16-J16)*24)-SUM(BR16:BS16)+BT16,2)+IF(Fredagsfrokost="n",IF(WEEKDAY($I16,2)=5,IF(K16&gt;=0.5,IF(K16&lt;=13/24,0,0),0),0),0),IF(AW16&gt;0,AW16,""))</f>
        <v>7.07</v>
      </c>
      <c r="M16" s="141">
        <f>FLOOR(L16,1)</f>
        <v>7</v>
      </c>
      <c r="N16" s="141">
        <f>+L16-M16</f>
        <v>7.0000000000000284E-2</v>
      </c>
      <c r="O16" s="141">
        <f>+N16/100*60</f>
        <v>4.2000000000000169E-2</v>
      </c>
      <c r="P16" s="162">
        <f>IF(J16="","",O16+M16)</f>
        <v>7.0419999999999998</v>
      </c>
      <c r="Q16" s="591"/>
      <c r="R16" s="592"/>
      <c r="S16" s="592"/>
      <c r="T16" s="593"/>
      <c r="U16" s="417"/>
      <c r="V16" s="240">
        <f t="shared" si="5"/>
        <v>0</v>
      </c>
      <c r="W16" s="240">
        <f t="shared" si="17"/>
        <v>0</v>
      </c>
      <c r="X16" s="240">
        <f t="shared" si="6"/>
        <v>0</v>
      </c>
      <c r="Y16" s="242">
        <f t="shared" si="18"/>
        <v>0</v>
      </c>
      <c r="Z16" s="417"/>
      <c r="AA16" s="417"/>
      <c r="AB16" s="417"/>
      <c r="AC16" s="417"/>
      <c r="AD16" s="417"/>
      <c r="AE16" s="240">
        <f t="shared" si="0"/>
        <v>0</v>
      </c>
      <c r="AF16" s="240">
        <f t="shared" si="1"/>
        <v>0</v>
      </c>
      <c r="AG16" s="240">
        <f t="shared" si="2"/>
        <v>0</v>
      </c>
      <c r="AH16" s="242">
        <f t="shared" si="3"/>
        <v>0</v>
      </c>
      <c r="AI16" s="417"/>
      <c r="AJ16" s="417"/>
      <c r="AK16" s="417"/>
      <c r="AL16" s="417"/>
      <c r="AM16" s="472"/>
      <c r="AN16" s="240">
        <f t="shared" si="7"/>
        <v>0</v>
      </c>
      <c r="AO16" s="240">
        <f t="shared" si="8"/>
        <v>0</v>
      </c>
      <c r="AP16" s="240">
        <f t="shared" si="9"/>
        <v>0</v>
      </c>
      <c r="AQ16" s="242">
        <f t="shared" si="19"/>
        <v>0</v>
      </c>
      <c r="AR16" s="245"/>
      <c r="AS16" s="245"/>
      <c r="AT16" s="245"/>
      <c r="AU16" s="420"/>
      <c r="AZ16" s="189"/>
      <c r="BA16" s="189"/>
      <c r="BB16" s="189"/>
      <c r="BC16" s="189"/>
      <c r="BD16" s="189"/>
      <c r="BE16" s="189"/>
      <c r="BG16" s="145">
        <f>IF($K16&gt;=0,+SUM(L$9:$L16)-$B16+Jul!$AZ$41+SUM(AQ$9:$AQ16)," ")</f>
        <v>0</v>
      </c>
      <c r="BH16" s="144">
        <f t="shared" si="20"/>
        <v>1</v>
      </c>
      <c r="BI16" s="146">
        <f t="shared" si="21"/>
        <v>0</v>
      </c>
      <c r="BJ16" s="146">
        <f t="shared" si="22"/>
        <v>0</v>
      </c>
      <c r="BK16" s="146">
        <f t="shared" si="23"/>
        <v>0</v>
      </c>
      <c r="BL16" s="164">
        <f>IF(BN16=2,+BK16+BI16,"")</f>
        <v>0</v>
      </c>
      <c r="BM16" s="157">
        <f t="shared" si="24"/>
        <v>7.0419999999999998</v>
      </c>
      <c r="BN16">
        <f t="shared" si="11"/>
        <v>2</v>
      </c>
    </row>
    <row r="17" spans="1:66" ht="15.95" customHeight="1" x14ac:dyDescent="0.25">
      <c r="A17" s="83"/>
      <c r="B17" s="84">
        <f>IF($I17&lt;&gt;"",IF(WEEKDAY($I17,2)&lt;6,IF(VLOOKUP(WEEKDAY($I17,2),InputUge,3)&gt;0,IF($A17="",VLOOKUP(WEEKDAY($I17,2),InputUge,3)+MAX(B$8:B16),IF($A17&lt;VLOOKUP(WEEKDAY($I17,2),InputUge,3),$A17+MAX(B$8:B16),VLOOKUP(WEEKDAY($I17,2),InputUge,3)+MAX(B$8:B16))),""),""),"")</f>
        <v>51.13666666666667</v>
      </c>
      <c r="C17" s="144">
        <f t="shared" si="12"/>
        <v>1</v>
      </c>
      <c r="D17" s="146">
        <f t="shared" si="13"/>
        <v>51</v>
      </c>
      <c r="E17" s="146">
        <f t="shared" si="14"/>
        <v>0.13666666666667027</v>
      </c>
      <c r="F17" s="146">
        <f t="shared" si="15"/>
        <v>8.2000000000002154E-2</v>
      </c>
      <c r="G17" s="261">
        <f t="shared" si="4"/>
        <v>51.082000000000001</v>
      </c>
      <c r="H17" s="4">
        <v>9</v>
      </c>
      <c r="I17" s="16">
        <f t="shared" si="16"/>
        <v>41464</v>
      </c>
      <c r="J17" s="6">
        <v>0.34791666666666665</v>
      </c>
      <c r="K17" s="6">
        <v>0.64236111111111105</v>
      </c>
      <c r="L17" s="5">
        <f>IF(K17&gt;0,ROUND(((K17-J17)*24)-SUM(BR17:BS17)+BT17,2)+IF(Fredagsfrokost="n",IF(WEEKDAY($I17,2)=5,IF(K17&gt;=0.5,IF(K17&lt;=13/24,0,0),0),0),0),IF(AW17&gt;0,AW17,""))</f>
        <v>7.07</v>
      </c>
      <c r="M17" s="141">
        <f>FLOOR(L17,1)</f>
        <v>7</v>
      </c>
      <c r="N17" s="141">
        <f>+L17-M17</f>
        <v>7.0000000000000284E-2</v>
      </c>
      <c r="O17" s="141">
        <f>+N17/100*60</f>
        <v>4.2000000000000169E-2</v>
      </c>
      <c r="P17" s="162">
        <f>IF(J17="","",O17+M17)</f>
        <v>7.0419999999999998</v>
      </c>
      <c r="Q17" s="591"/>
      <c r="R17" s="592"/>
      <c r="S17" s="592"/>
      <c r="T17" s="593"/>
      <c r="U17" s="417"/>
      <c r="V17" s="240">
        <f t="shared" si="5"/>
        <v>0</v>
      </c>
      <c r="W17" s="240">
        <f t="shared" si="17"/>
        <v>0</v>
      </c>
      <c r="X17" s="240">
        <f t="shared" si="6"/>
        <v>0</v>
      </c>
      <c r="Y17" s="242">
        <f t="shared" si="18"/>
        <v>0</v>
      </c>
      <c r="Z17" s="417"/>
      <c r="AA17" s="417"/>
      <c r="AB17" s="417"/>
      <c r="AC17" s="417"/>
      <c r="AD17" s="417"/>
      <c r="AE17" s="240">
        <f t="shared" si="0"/>
        <v>0</v>
      </c>
      <c r="AF17" s="240">
        <f t="shared" si="1"/>
        <v>0</v>
      </c>
      <c r="AG17" s="240">
        <f t="shared" si="2"/>
        <v>0</v>
      </c>
      <c r="AH17" s="242">
        <f t="shared" si="3"/>
        <v>0</v>
      </c>
      <c r="AI17" s="417"/>
      <c r="AJ17" s="417"/>
      <c r="AK17" s="417"/>
      <c r="AL17" s="417"/>
      <c r="AM17" s="472"/>
      <c r="AN17" s="240">
        <f t="shared" si="7"/>
        <v>0</v>
      </c>
      <c r="AO17" s="240">
        <f t="shared" si="8"/>
        <v>0</v>
      </c>
      <c r="AP17" s="240">
        <f t="shared" si="9"/>
        <v>0</v>
      </c>
      <c r="AQ17" s="242">
        <f t="shared" si="19"/>
        <v>0</v>
      </c>
      <c r="AR17" s="245"/>
      <c r="AS17" s="245"/>
      <c r="AT17" s="245"/>
      <c r="AU17" s="420"/>
      <c r="AZ17" s="189"/>
      <c r="BA17" s="189"/>
      <c r="BB17" s="189"/>
      <c r="BC17" s="189"/>
      <c r="BD17" s="189"/>
      <c r="BE17" s="189"/>
      <c r="BG17" s="145">
        <f>IF($K17&gt;=0,+SUM(L$9:$L17)-$B17+Jul!$AZ$41+SUM(AQ$9:$AQ17)," ")</f>
        <v>3.3333333333303017E-3</v>
      </c>
      <c r="BH17" s="144">
        <f t="shared" si="20"/>
        <v>1</v>
      </c>
      <c r="BI17" s="146">
        <f t="shared" si="21"/>
        <v>0</v>
      </c>
      <c r="BJ17" s="146">
        <f t="shared" si="22"/>
        <v>3.3333333333303017E-3</v>
      </c>
      <c r="BK17" s="146">
        <f t="shared" si="23"/>
        <v>1.9999999999981812E-3</v>
      </c>
      <c r="BL17" s="164">
        <f>IF(BN17=2,+BK17+BI17,"")</f>
        <v>1.9999999999981812E-3</v>
      </c>
      <c r="BM17" s="157">
        <f>+P17</f>
        <v>7.0419999999999998</v>
      </c>
      <c r="BN17">
        <f t="shared" si="11"/>
        <v>2</v>
      </c>
    </row>
    <row r="18" spans="1:66" ht="15.95" customHeight="1" x14ac:dyDescent="0.25">
      <c r="A18" s="83"/>
      <c r="B18" s="84">
        <f>IF($I18&lt;&gt;"",IF(WEEKDAY($I18,2)&lt;6,IF(VLOOKUP(WEEKDAY($I18,2),InputUge,3)&gt;0,IF($A18="",VLOOKUP(WEEKDAY($I18,2),InputUge,3)+MAX(B$8:B17),IF($A18&lt;VLOOKUP(WEEKDAY($I18,2),InputUge,3),$A18+MAX(B$8:B17),VLOOKUP(WEEKDAY($I18,2),InputUge,3)+MAX(B$8:B17))),""),""),"")</f>
        <v>58.203333333333333</v>
      </c>
      <c r="C18" s="144">
        <f t="shared" si="12"/>
        <v>1</v>
      </c>
      <c r="D18" s="146">
        <f t="shared" si="13"/>
        <v>58</v>
      </c>
      <c r="E18" s="146">
        <f t="shared" si="14"/>
        <v>0.20333333333333314</v>
      </c>
      <c r="F18" s="146">
        <f t="shared" si="15"/>
        <v>0.12199999999999989</v>
      </c>
      <c r="G18" s="261">
        <f t="shared" si="4"/>
        <v>58.122</v>
      </c>
      <c r="H18" s="4">
        <v>10</v>
      </c>
      <c r="I18" s="16">
        <f t="shared" si="16"/>
        <v>41465</v>
      </c>
      <c r="J18" s="6">
        <v>0.34791666666666665</v>
      </c>
      <c r="K18" s="6">
        <v>0.64236111111111105</v>
      </c>
      <c r="L18" s="5">
        <f>IF(K18&gt;0,ROUND(((K18-J18)*24)-SUM(BR18:BS18)+BT18,2)+IF(Fredagsfrokost="n",IF(WEEKDAY($I18,2)=5,IF(K18&gt;=0.5,IF(K18&lt;=13/24,0,0),0),0),0),IF(AW18&gt;0,AW18,""))</f>
        <v>7.07</v>
      </c>
      <c r="M18" s="141">
        <f>FLOOR(L18,1)</f>
        <v>7</v>
      </c>
      <c r="N18" s="141">
        <f>+L18-M18</f>
        <v>7.0000000000000284E-2</v>
      </c>
      <c r="O18" s="141">
        <f>+N18/100*60</f>
        <v>4.2000000000000169E-2</v>
      </c>
      <c r="P18" s="162">
        <f>IF(J18="","",O18+M18)</f>
        <v>7.0419999999999998</v>
      </c>
      <c r="Q18" s="591"/>
      <c r="R18" s="592"/>
      <c r="S18" s="592"/>
      <c r="T18" s="593"/>
      <c r="U18" s="417"/>
      <c r="V18" s="240">
        <f t="shared" si="5"/>
        <v>0</v>
      </c>
      <c r="W18" s="240">
        <f t="shared" si="17"/>
        <v>0</v>
      </c>
      <c r="X18" s="240">
        <f t="shared" si="6"/>
        <v>0</v>
      </c>
      <c r="Y18" s="242">
        <f t="shared" si="18"/>
        <v>0</v>
      </c>
      <c r="Z18" s="417"/>
      <c r="AA18" s="417"/>
      <c r="AB18" s="417"/>
      <c r="AC18" s="417"/>
      <c r="AD18" s="417"/>
      <c r="AE18" s="240">
        <f t="shared" si="0"/>
        <v>0</v>
      </c>
      <c r="AF18" s="240">
        <f t="shared" si="1"/>
        <v>0</v>
      </c>
      <c r="AG18" s="240">
        <f t="shared" si="2"/>
        <v>0</v>
      </c>
      <c r="AH18" s="242">
        <f t="shared" si="3"/>
        <v>0</v>
      </c>
      <c r="AI18" s="417"/>
      <c r="AJ18" s="417"/>
      <c r="AK18" s="417"/>
      <c r="AL18" s="417"/>
      <c r="AM18" s="472"/>
      <c r="AN18" s="240">
        <f t="shared" si="7"/>
        <v>0</v>
      </c>
      <c r="AO18" s="240">
        <f t="shared" si="8"/>
        <v>0</v>
      </c>
      <c r="AP18" s="240">
        <f t="shared" si="9"/>
        <v>0</v>
      </c>
      <c r="AQ18" s="242">
        <f t="shared" si="19"/>
        <v>0</v>
      </c>
      <c r="AR18" s="245"/>
      <c r="AS18" s="245"/>
      <c r="AT18" s="245"/>
      <c r="AU18" s="420"/>
      <c r="AZ18" s="189"/>
      <c r="BA18" s="189"/>
      <c r="BB18" s="189"/>
      <c r="BC18" s="189"/>
      <c r="BD18" s="189"/>
      <c r="BE18" s="189"/>
      <c r="BG18" s="145">
        <f>IF($K18&gt;=0,+SUM(L$9:$L18)-$B18+Jul!$AZ$41+SUM(AQ$9:$AQ18)," ")</f>
        <v>6.6666666666677088E-3</v>
      </c>
      <c r="BH18" s="144">
        <f t="shared" si="20"/>
        <v>1</v>
      </c>
      <c r="BI18" s="146">
        <f t="shared" si="21"/>
        <v>0</v>
      </c>
      <c r="BJ18" s="146">
        <f t="shared" si="22"/>
        <v>6.6666666666677088E-3</v>
      </c>
      <c r="BK18" s="146">
        <f t="shared" si="23"/>
        <v>4.0000000000006255E-3</v>
      </c>
      <c r="BL18" s="164">
        <f>IF(BN18=2,+BK18+BI18,"")</f>
        <v>4.0000000000006255E-3</v>
      </c>
      <c r="BM18" s="157">
        <f>+P18</f>
        <v>7.0419999999999998</v>
      </c>
      <c r="BN18">
        <f t="shared" si="11"/>
        <v>2</v>
      </c>
    </row>
    <row r="19" spans="1:66" ht="15.95" customHeight="1" x14ac:dyDescent="0.25">
      <c r="A19" s="83"/>
      <c r="B19" s="84">
        <f>IF($I19&lt;&gt;"",IF(WEEKDAY($I19,2)&lt;6,IF(VLOOKUP(WEEKDAY($I19,2),InputUge,3)&gt;0,IF($A19="",VLOOKUP(WEEKDAY($I19,2),InputUge,3)+MAX(B$8:B18),IF($A19&lt;VLOOKUP(WEEKDAY($I19,2),InputUge,3),$A19+MAX(B$8:B18),VLOOKUP(WEEKDAY($I19,2),InputUge,3)+MAX(B$8:B18))),""),""),"")</f>
        <v>67.61333333333333</v>
      </c>
      <c r="C19" s="144">
        <f t="shared" si="12"/>
        <v>1</v>
      </c>
      <c r="D19" s="146">
        <f t="shared" si="13"/>
        <v>67</v>
      </c>
      <c r="E19" s="146">
        <f t="shared" si="14"/>
        <v>0.61333333333332973</v>
      </c>
      <c r="F19" s="146">
        <f t="shared" si="15"/>
        <v>0.36799999999999783</v>
      </c>
      <c r="G19" s="261">
        <f t="shared" si="4"/>
        <v>67.367999999999995</v>
      </c>
      <c r="H19" s="4">
        <v>11</v>
      </c>
      <c r="I19" s="16">
        <f t="shared" si="16"/>
        <v>41466</v>
      </c>
      <c r="J19" s="6">
        <v>0.34791666666666665</v>
      </c>
      <c r="K19" s="6">
        <v>0.73987268518518512</v>
      </c>
      <c r="L19" s="5">
        <f>IF(K19&gt;0,ROUND(((K19-J19)*24)-SUM(BR19:BS19)+BT19,2)+IF(Fredagsfrokost="n",IF(WEEKDAY($I19,2)=5,IF(K19&gt;=0.5,IF(K19&lt;=13/24,0,0),0),0),0),IF(AW19&gt;0,AW19,""))</f>
        <v>9.41</v>
      </c>
      <c r="M19" s="141">
        <f>FLOOR(L19,1)</f>
        <v>9</v>
      </c>
      <c r="N19" s="141">
        <f>+L19-M19</f>
        <v>0.41000000000000014</v>
      </c>
      <c r="O19" s="141">
        <f>+N19/100*60</f>
        <v>0.24600000000000008</v>
      </c>
      <c r="P19" s="162">
        <f>IF(J19="","",O19+M19)</f>
        <v>9.2460000000000004</v>
      </c>
      <c r="Q19" s="591"/>
      <c r="R19" s="592"/>
      <c r="S19" s="592"/>
      <c r="T19" s="593"/>
      <c r="U19" s="417"/>
      <c r="V19" s="240">
        <f t="shared" si="5"/>
        <v>0</v>
      </c>
      <c r="W19" s="240">
        <f t="shared" si="17"/>
        <v>0</v>
      </c>
      <c r="X19" s="240">
        <f t="shared" si="6"/>
        <v>0</v>
      </c>
      <c r="Y19" s="242">
        <f t="shared" si="18"/>
        <v>0</v>
      </c>
      <c r="Z19" s="417"/>
      <c r="AA19" s="417"/>
      <c r="AB19" s="417"/>
      <c r="AC19" s="417"/>
      <c r="AD19" s="417"/>
      <c r="AE19" s="240">
        <f t="shared" si="0"/>
        <v>0</v>
      </c>
      <c r="AF19" s="240">
        <f t="shared" si="1"/>
        <v>0</v>
      </c>
      <c r="AG19" s="240">
        <f t="shared" si="2"/>
        <v>0</v>
      </c>
      <c r="AH19" s="242">
        <f t="shared" si="3"/>
        <v>0</v>
      </c>
      <c r="AI19" s="417"/>
      <c r="AJ19" s="417"/>
      <c r="AK19" s="417"/>
      <c r="AL19" s="417"/>
      <c r="AM19" s="472"/>
      <c r="AN19" s="240">
        <f t="shared" si="7"/>
        <v>0</v>
      </c>
      <c r="AO19" s="240">
        <f t="shared" si="8"/>
        <v>0</v>
      </c>
      <c r="AP19" s="240">
        <f t="shared" si="9"/>
        <v>0</v>
      </c>
      <c r="AQ19" s="242">
        <f t="shared" si="19"/>
        <v>0</v>
      </c>
      <c r="AR19" s="245"/>
      <c r="AS19" s="245"/>
      <c r="AT19" s="245"/>
      <c r="AU19" s="420"/>
      <c r="AZ19" s="189"/>
      <c r="BA19" s="189"/>
      <c r="BB19" s="189"/>
      <c r="BC19" s="189"/>
      <c r="BD19" s="189"/>
      <c r="BE19" s="189"/>
      <c r="BG19" s="145">
        <f>IF($K19&gt;=0,+SUM(L$9:$L19)-$B19+Jul!$AZ$41+SUM(AQ$9:$AQ19)," ")</f>
        <v>6.6666666666748142E-3</v>
      </c>
      <c r="BH19" s="144">
        <f t="shared" si="20"/>
        <v>1</v>
      </c>
      <c r="BI19" s="146">
        <f>FLOOR(BG19,BH19)</f>
        <v>0</v>
      </c>
      <c r="BJ19" s="146">
        <f>+BG19-BI19</f>
        <v>6.6666666666748142E-3</v>
      </c>
      <c r="BK19" s="146">
        <f t="shared" si="23"/>
        <v>4.0000000000048885E-3</v>
      </c>
      <c r="BL19" s="164">
        <f>IF(BN19=2,+BK19+BI19,"")</f>
        <v>4.0000000000048885E-3</v>
      </c>
      <c r="BM19" s="157">
        <f>+P19</f>
        <v>9.2460000000000004</v>
      </c>
      <c r="BN19">
        <f t="shared" si="11"/>
        <v>2</v>
      </c>
    </row>
    <row r="20" spans="1:66" ht="15.95" customHeight="1" x14ac:dyDescent="0.25">
      <c r="A20" s="83"/>
      <c r="B20" s="84">
        <f>IF($I20&lt;&gt;"",IF(WEEKDAY($I20,2)&lt;6,IF(VLOOKUP(WEEKDAY($I20,2),InputUge,3)&gt;0,IF($A20="",VLOOKUP(WEEKDAY($I20,2),InputUge,3)+MAX(B$8:B19),IF($A20&lt;VLOOKUP(WEEKDAY($I20,2),InputUge,3),$A20+MAX(B$8:B19),VLOOKUP(WEEKDAY($I20,2),InputUge,3)+MAX(B$8:B19))),""),""),"")</f>
        <v>74.013333333333335</v>
      </c>
      <c r="C20" s="144">
        <f t="shared" si="12"/>
        <v>1</v>
      </c>
      <c r="D20" s="146">
        <f t="shared" si="13"/>
        <v>74</v>
      </c>
      <c r="E20" s="146">
        <f t="shared" si="14"/>
        <v>1.3333333333335418E-2</v>
      </c>
      <c r="F20" s="146">
        <f t="shared" si="15"/>
        <v>8.0000000000012509E-3</v>
      </c>
      <c r="G20" s="261">
        <f t="shared" si="4"/>
        <v>74.007999999999996</v>
      </c>
      <c r="H20" s="4">
        <v>12</v>
      </c>
      <c r="I20" s="16">
        <f t="shared" si="16"/>
        <v>41467</v>
      </c>
      <c r="J20" s="6">
        <v>0.34791666666666665</v>
      </c>
      <c r="K20" s="6">
        <v>0.61458333333333337</v>
      </c>
      <c r="L20" s="5">
        <f>IF(K20&gt;0,ROUND(((K20-J20)*24)-SUM(BR20:BS20)+BT20,2)+IF(Fredagsfrokost="n",IF(WEEKDAY($I20,2)=5,IF(K20&gt;=0.5,IF(K20&lt;=13/24,0,0),0),0),0),IF(AW20&gt;0,AW20,""))</f>
        <v>6.4</v>
      </c>
      <c r="M20" s="141">
        <f>FLOOR(L20,1)</f>
        <v>6</v>
      </c>
      <c r="N20" s="141">
        <f>+L20-M20</f>
        <v>0.40000000000000036</v>
      </c>
      <c r="O20" s="141">
        <f>+N20/100*60</f>
        <v>0.24000000000000021</v>
      </c>
      <c r="P20" s="162">
        <f>IF(J20="","",O20+M20)</f>
        <v>6.24</v>
      </c>
      <c r="Q20" s="591"/>
      <c r="R20" s="592"/>
      <c r="S20" s="592"/>
      <c r="T20" s="593"/>
      <c r="U20" s="417"/>
      <c r="V20" s="240">
        <f t="shared" si="5"/>
        <v>0</v>
      </c>
      <c r="W20" s="240">
        <f t="shared" si="17"/>
        <v>0</v>
      </c>
      <c r="X20" s="240">
        <f t="shared" si="6"/>
        <v>0</v>
      </c>
      <c r="Y20" s="242">
        <f t="shared" si="18"/>
        <v>0</v>
      </c>
      <c r="Z20" s="417"/>
      <c r="AA20" s="417"/>
      <c r="AB20" s="417"/>
      <c r="AC20" s="417"/>
      <c r="AD20" s="417"/>
      <c r="AE20" s="240">
        <f t="shared" si="0"/>
        <v>0</v>
      </c>
      <c r="AF20" s="240">
        <f t="shared" si="1"/>
        <v>0</v>
      </c>
      <c r="AG20" s="240">
        <f t="shared" si="2"/>
        <v>0</v>
      </c>
      <c r="AH20" s="242">
        <f t="shared" si="3"/>
        <v>0</v>
      </c>
      <c r="AI20" s="417"/>
      <c r="AJ20" s="417"/>
      <c r="AK20" s="417"/>
      <c r="AL20" s="417"/>
      <c r="AM20" s="472"/>
      <c r="AN20" s="240">
        <f t="shared" si="7"/>
        <v>0</v>
      </c>
      <c r="AO20" s="240">
        <f t="shared" si="8"/>
        <v>0</v>
      </c>
      <c r="AP20" s="240">
        <f t="shared" si="9"/>
        <v>0</v>
      </c>
      <c r="AQ20" s="242">
        <f t="shared" si="19"/>
        <v>0</v>
      </c>
      <c r="AR20" s="245"/>
      <c r="AS20" s="245"/>
      <c r="AT20" s="245"/>
      <c r="AU20" s="420"/>
      <c r="AZ20" s="189"/>
      <c r="BA20" s="189"/>
      <c r="BB20" s="189"/>
      <c r="BC20" s="189"/>
      <c r="BD20" s="189"/>
      <c r="BE20" s="189"/>
      <c r="BG20" s="145">
        <f>IF($K20&gt;=0,+SUM(L$9:$L20)-$B20+Jul!$AZ$41+SUM(AQ$9:$AQ20)," ")</f>
        <v>6.6666666666748142E-3</v>
      </c>
      <c r="BH20" s="144">
        <f t="shared" si="20"/>
        <v>1</v>
      </c>
      <c r="BI20" s="146">
        <f t="shared" si="21"/>
        <v>0</v>
      </c>
      <c r="BJ20" s="146">
        <f t="shared" si="22"/>
        <v>6.6666666666748142E-3</v>
      </c>
      <c r="BK20" s="146">
        <f t="shared" si="23"/>
        <v>4.0000000000048885E-3</v>
      </c>
      <c r="BL20" s="164">
        <f t="shared" si="10"/>
        <v>4.0000000000048885E-3</v>
      </c>
      <c r="BM20" s="157">
        <f t="shared" si="24"/>
        <v>6.24</v>
      </c>
      <c r="BN20">
        <f t="shared" si="11"/>
        <v>2</v>
      </c>
    </row>
    <row r="21" spans="1:66" ht="15.95" customHeight="1" x14ac:dyDescent="0.25">
      <c r="A21" s="83"/>
      <c r="B21" s="84" t="str">
        <f>IF($I21&lt;&gt;"",IF(WEEKDAY($I21,2)&lt;6,IF(VLOOKUP(WEEKDAY($I21,2),InputUge,3)&gt;0,IF($A21="",VLOOKUP(WEEKDAY($I21,2),InputUge,3)+MAX(B$8:B20),IF($A21&lt;VLOOKUP(WEEKDAY($I21,2),InputUge,3),$A21+MAX(B$8:B20),VLOOKUP(WEEKDAY($I21,2),InputUge,3)+MAX(B$8:B20))),""),""),"")</f>
        <v/>
      </c>
      <c r="C21" s="144">
        <f t="shared" si="12"/>
        <v>1</v>
      </c>
      <c r="D21" s="146" t="e">
        <f t="shared" si="13"/>
        <v>#VALUE!</v>
      </c>
      <c r="E21" s="146" t="e">
        <f t="shared" si="14"/>
        <v>#VALUE!</v>
      </c>
      <c r="F21" s="146" t="e">
        <f t="shared" si="15"/>
        <v>#VALUE!</v>
      </c>
      <c r="G21" s="261"/>
      <c r="H21" s="4">
        <v>13</v>
      </c>
      <c r="I21" s="16">
        <f t="shared" si="16"/>
        <v>41468</v>
      </c>
      <c r="J21" s="6"/>
      <c r="K21" s="6"/>
      <c r="L21" s="5"/>
      <c r="M21" s="141"/>
      <c r="N21" s="141"/>
      <c r="O21" s="141"/>
      <c r="P21" s="162"/>
      <c r="Q21" s="591"/>
      <c r="R21" s="592"/>
      <c r="S21" s="592"/>
      <c r="T21" s="593"/>
      <c r="U21" s="417"/>
      <c r="V21" s="240">
        <f t="shared" si="5"/>
        <v>0</v>
      </c>
      <c r="W21" s="240">
        <f t="shared" si="17"/>
        <v>0</v>
      </c>
      <c r="X21" s="240">
        <f t="shared" si="6"/>
        <v>0</v>
      </c>
      <c r="Y21" s="242">
        <f t="shared" si="18"/>
        <v>0</v>
      </c>
      <c r="Z21" s="417"/>
      <c r="AA21" s="417"/>
      <c r="AB21" s="417"/>
      <c r="AC21" s="417"/>
      <c r="AD21" s="417"/>
      <c r="AE21" s="240">
        <f t="shared" si="0"/>
        <v>0</v>
      </c>
      <c r="AF21" s="240">
        <f t="shared" si="1"/>
        <v>0</v>
      </c>
      <c r="AG21" s="240">
        <f t="shared" si="2"/>
        <v>0</v>
      </c>
      <c r="AH21" s="242">
        <f t="shared" si="3"/>
        <v>0</v>
      </c>
      <c r="AI21" s="417"/>
      <c r="AJ21" s="417"/>
      <c r="AK21" s="417"/>
      <c r="AL21" s="417"/>
      <c r="AM21" s="472"/>
      <c r="AN21" s="240">
        <f t="shared" si="7"/>
        <v>0</v>
      </c>
      <c r="AO21" s="240">
        <f t="shared" si="8"/>
        <v>0</v>
      </c>
      <c r="AP21" s="240">
        <f t="shared" si="9"/>
        <v>0</v>
      </c>
      <c r="AQ21" s="242">
        <f t="shared" si="19"/>
        <v>0</v>
      </c>
      <c r="AR21" s="245"/>
      <c r="AS21" s="245"/>
      <c r="AT21" s="245"/>
      <c r="AU21" s="420"/>
      <c r="AZ21" s="189"/>
      <c r="BA21" s="189"/>
      <c r="BB21" s="189"/>
      <c r="BC21" s="189"/>
      <c r="BD21" s="189"/>
      <c r="BE21" s="189"/>
      <c r="BG21" s="145" t="e">
        <f>IF($K21&gt;=0,+SUM(L$9:$L21)-$B21+Jul!$AZ$41+SUM(AQ$9:$AQ21)," ")</f>
        <v>#VALUE!</v>
      </c>
      <c r="BH21" s="144" t="e">
        <f t="shared" si="20"/>
        <v>#VALUE!</v>
      </c>
      <c r="BI21" s="146" t="e">
        <f t="shared" si="21"/>
        <v>#VALUE!</v>
      </c>
      <c r="BJ21" s="146" t="e">
        <f t="shared" si="22"/>
        <v>#VALUE!</v>
      </c>
      <c r="BK21" s="146" t="e">
        <f t="shared" si="23"/>
        <v>#VALUE!</v>
      </c>
      <c r="BL21" s="164"/>
      <c r="BM21" s="157">
        <f t="shared" si="24"/>
        <v>0</v>
      </c>
      <c r="BN21">
        <f t="shared" si="11"/>
        <v>2</v>
      </c>
    </row>
    <row r="22" spans="1:66" ht="15.95" customHeight="1" x14ac:dyDescent="0.25">
      <c r="A22" s="83"/>
      <c r="B22" s="84" t="str">
        <f>IF($I22&lt;&gt;"",IF(WEEKDAY($I22,2)&lt;6,IF(VLOOKUP(WEEKDAY($I22,2),InputUge,3)&gt;0,IF($A22="",VLOOKUP(WEEKDAY($I22,2),InputUge,3)+MAX(B$8:B21),IF($A22&lt;VLOOKUP(WEEKDAY($I22,2),InputUge,3),$A22+MAX(B$8:B21),VLOOKUP(WEEKDAY($I22,2),InputUge,3)+MAX(B$8:B21))),""),""),"")</f>
        <v/>
      </c>
      <c r="C22" s="144">
        <f t="shared" si="12"/>
        <v>1</v>
      </c>
      <c r="D22" s="146" t="e">
        <f t="shared" si="13"/>
        <v>#VALUE!</v>
      </c>
      <c r="E22" s="146" t="e">
        <f t="shared" si="14"/>
        <v>#VALUE!</v>
      </c>
      <c r="F22" s="146" t="e">
        <f t="shared" si="15"/>
        <v>#VALUE!</v>
      </c>
      <c r="G22" s="261"/>
      <c r="H22" s="4">
        <v>14</v>
      </c>
      <c r="I22" s="16">
        <f t="shared" si="16"/>
        <v>41469</v>
      </c>
      <c r="J22" s="6"/>
      <c r="K22" s="6"/>
      <c r="L22" s="5"/>
      <c r="M22" s="141">
        <f t="shared" ref="M22:M27" si="25">FLOOR(L22,1)</f>
        <v>0</v>
      </c>
      <c r="N22" s="141">
        <f t="shared" ref="N22:N27" si="26">+L22-M22</f>
        <v>0</v>
      </c>
      <c r="O22" s="141">
        <f t="shared" ref="O22:O27" si="27">+N22/100*60</f>
        <v>0</v>
      </c>
      <c r="P22" s="141" t="str">
        <f t="shared" ref="P22:P27" si="28">IF(J22="","",O22+M22)</f>
        <v/>
      </c>
      <c r="Q22" s="591"/>
      <c r="R22" s="592"/>
      <c r="S22" s="592"/>
      <c r="T22" s="593"/>
      <c r="U22" s="417"/>
      <c r="V22" s="240">
        <f t="shared" si="5"/>
        <v>0</v>
      </c>
      <c r="W22" s="240">
        <f t="shared" si="17"/>
        <v>0</v>
      </c>
      <c r="X22" s="240">
        <f t="shared" si="6"/>
        <v>0</v>
      </c>
      <c r="Y22" s="242">
        <f t="shared" si="18"/>
        <v>0</v>
      </c>
      <c r="Z22" s="417"/>
      <c r="AA22" s="417"/>
      <c r="AB22" s="417"/>
      <c r="AC22" s="417"/>
      <c r="AD22" s="417"/>
      <c r="AE22" s="240">
        <f t="shared" si="0"/>
        <v>0</v>
      </c>
      <c r="AF22" s="240">
        <f t="shared" si="1"/>
        <v>0</v>
      </c>
      <c r="AG22" s="240">
        <f t="shared" si="2"/>
        <v>0</v>
      </c>
      <c r="AH22" s="242">
        <f t="shared" si="3"/>
        <v>0</v>
      </c>
      <c r="AI22" s="417"/>
      <c r="AJ22" s="417"/>
      <c r="AK22" s="417"/>
      <c r="AL22" s="417"/>
      <c r="AM22" s="472"/>
      <c r="AN22" s="240">
        <f t="shared" si="7"/>
        <v>0</v>
      </c>
      <c r="AO22" s="240">
        <f t="shared" si="8"/>
        <v>0</v>
      </c>
      <c r="AP22" s="240">
        <f t="shared" si="9"/>
        <v>0</v>
      </c>
      <c r="AQ22" s="242">
        <f t="shared" si="19"/>
        <v>0</v>
      </c>
      <c r="AR22" s="245"/>
      <c r="AS22" s="245"/>
      <c r="AT22" s="245"/>
      <c r="AU22" s="420"/>
      <c r="AZ22" s="189"/>
      <c r="BA22" s="189"/>
      <c r="BB22" s="189"/>
      <c r="BC22" s="189"/>
      <c r="BD22" s="189"/>
      <c r="BE22" s="189"/>
      <c r="BG22" s="145" t="e">
        <f>IF($K22&gt;=0,+SUM(L$9:$L22)-$B22+Jul!$AZ$41+SUM(AQ$9:$AQ22)," ")</f>
        <v>#VALUE!</v>
      </c>
      <c r="BH22" s="144" t="e">
        <f t="shared" si="20"/>
        <v>#VALUE!</v>
      </c>
      <c r="BI22" s="146" t="e">
        <f t="shared" si="21"/>
        <v>#VALUE!</v>
      </c>
      <c r="BJ22" s="146" t="e">
        <f t="shared" si="22"/>
        <v>#VALUE!</v>
      </c>
      <c r="BK22" s="146" t="e">
        <f t="shared" si="23"/>
        <v>#VALUE!</v>
      </c>
      <c r="BL22" s="164" t="str">
        <f t="shared" si="10"/>
        <v/>
      </c>
      <c r="BM22" s="157" t="str">
        <f t="shared" si="24"/>
        <v/>
      </c>
      <c r="BN22">
        <f t="shared" si="11"/>
        <v>1</v>
      </c>
    </row>
    <row r="23" spans="1:66" ht="15.95" customHeight="1" x14ac:dyDescent="0.25">
      <c r="A23" s="83"/>
      <c r="B23" s="84">
        <f>IF($I23&lt;&gt;"",IF(WEEKDAY($I23,2)&lt;6,IF(VLOOKUP(WEEKDAY($I23,2),InputUge,3)&gt;0,IF($A23="",VLOOKUP(WEEKDAY($I23,2),InputUge,3)+MAX(B$8:B22),IF($A23&lt;VLOOKUP(WEEKDAY($I23,2),InputUge,3),$A23+MAX(B$8:B22),VLOOKUP(WEEKDAY($I23,2),InputUge,3)+MAX(B$8:B22))),""),""),"")</f>
        <v>81.076666666666668</v>
      </c>
      <c r="C23" s="144">
        <f t="shared" si="12"/>
        <v>1</v>
      </c>
      <c r="D23" s="146">
        <f t="shared" si="13"/>
        <v>81</v>
      </c>
      <c r="E23" s="146">
        <f t="shared" si="14"/>
        <v>7.6666666666667993E-2</v>
      </c>
      <c r="F23" s="146">
        <f t="shared" si="15"/>
        <v>4.6000000000000797E-2</v>
      </c>
      <c r="G23" s="261"/>
      <c r="H23" s="4">
        <v>15</v>
      </c>
      <c r="I23" s="16">
        <f t="shared" si="16"/>
        <v>41470</v>
      </c>
      <c r="J23" s="6">
        <v>0.34826388888888887</v>
      </c>
      <c r="K23" s="6">
        <v>0.64236111111111105</v>
      </c>
      <c r="L23" s="5">
        <f>IF(K23&gt;0,ROUND(((K23-J23)*24)-SUM(BR23:BS23)+BT23,2)+IF(Fredagsfrokost="n",IF(WEEKDAY($I23,2)=5,IF(K23&gt;=0.5,IF(K23&lt;=13/24,0,0),0),0),0),IF(AW23&gt;0,AW23,""))</f>
        <v>7.06</v>
      </c>
      <c r="M23" s="141">
        <f t="shared" si="25"/>
        <v>7</v>
      </c>
      <c r="N23" s="141">
        <f t="shared" si="26"/>
        <v>5.9999999999999609E-2</v>
      </c>
      <c r="O23" s="141">
        <f t="shared" si="27"/>
        <v>3.5999999999999761E-2</v>
      </c>
      <c r="P23" s="162">
        <f t="shared" si="28"/>
        <v>7.0359999999999996</v>
      </c>
      <c r="Q23" s="591"/>
      <c r="R23" s="592"/>
      <c r="S23" s="592"/>
      <c r="T23" s="593"/>
      <c r="U23" s="417"/>
      <c r="V23" s="240">
        <f t="shared" si="5"/>
        <v>0</v>
      </c>
      <c r="W23" s="240">
        <f t="shared" si="17"/>
        <v>0</v>
      </c>
      <c r="X23" s="240">
        <f t="shared" si="6"/>
        <v>0</v>
      </c>
      <c r="Y23" s="242">
        <f t="shared" si="18"/>
        <v>0</v>
      </c>
      <c r="Z23" s="417"/>
      <c r="AA23" s="417"/>
      <c r="AB23" s="417"/>
      <c r="AC23" s="417"/>
      <c r="AD23" s="417"/>
      <c r="AE23" s="240">
        <f t="shared" si="0"/>
        <v>0</v>
      </c>
      <c r="AF23" s="240">
        <f t="shared" si="1"/>
        <v>0</v>
      </c>
      <c r="AG23" s="240">
        <f t="shared" si="2"/>
        <v>0</v>
      </c>
      <c r="AH23" s="242">
        <f t="shared" si="3"/>
        <v>0</v>
      </c>
      <c r="AI23" s="417"/>
      <c r="AJ23" s="417"/>
      <c r="AK23" s="417"/>
      <c r="AL23" s="417"/>
      <c r="AM23" s="472"/>
      <c r="AN23" s="240">
        <f t="shared" si="7"/>
        <v>0</v>
      </c>
      <c r="AO23" s="240">
        <f t="shared" si="8"/>
        <v>0</v>
      </c>
      <c r="AP23" s="240">
        <f t="shared" si="9"/>
        <v>0</v>
      </c>
      <c r="AQ23" s="242">
        <f t="shared" si="19"/>
        <v>0</v>
      </c>
      <c r="AR23" s="245"/>
      <c r="AS23" s="245"/>
      <c r="AT23" s="245"/>
      <c r="AU23" s="420"/>
      <c r="AZ23" s="189"/>
      <c r="BA23" s="189"/>
      <c r="BB23" s="189"/>
      <c r="BC23" s="189"/>
      <c r="BD23" s="189"/>
      <c r="BE23" s="189"/>
      <c r="BG23" s="145">
        <f>IF($K23&gt;=0,+SUM(L$9:$L23)-$B23+Jul!$AZ$41+SUM(AQ$9:$AQ23)," ")</f>
        <v>3.3333333333445125E-3</v>
      </c>
      <c r="BH23" s="144">
        <f t="shared" si="20"/>
        <v>1</v>
      </c>
      <c r="BI23" s="146">
        <f t="shared" si="21"/>
        <v>0</v>
      </c>
      <c r="BJ23" s="146">
        <f t="shared" si="22"/>
        <v>3.3333333333445125E-3</v>
      </c>
      <c r="BK23" s="146">
        <f t="shared" si="23"/>
        <v>2.0000000000067073E-3</v>
      </c>
      <c r="BL23" s="164">
        <f t="shared" si="10"/>
        <v>2.0000000000067073E-3</v>
      </c>
      <c r="BM23" s="157">
        <f t="shared" si="24"/>
        <v>7.0359999999999996</v>
      </c>
      <c r="BN23">
        <f t="shared" si="11"/>
        <v>2</v>
      </c>
    </row>
    <row r="24" spans="1:66" ht="15.95" customHeight="1" x14ac:dyDescent="0.25">
      <c r="A24" s="83"/>
      <c r="B24" s="84">
        <f>IF($I24&lt;&gt;"",IF(WEEKDAY($I24,2)&lt;6,IF(VLOOKUP(WEEKDAY($I24,2),InputUge,3)&gt;0,IF($A24="",VLOOKUP(WEEKDAY($I24,2),InputUge,3)+MAX(B$8:B23),IF($A24&lt;VLOOKUP(WEEKDAY($I24,2),InputUge,3),$A24+MAX(B$8:B23),VLOOKUP(WEEKDAY($I24,2),InputUge,3)+MAX(B$8:B23))),""),""),"")</f>
        <v>88.143333333333331</v>
      </c>
      <c r="C24" s="144">
        <f t="shared" si="12"/>
        <v>1</v>
      </c>
      <c r="D24" s="146">
        <f t="shared" si="13"/>
        <v>88</v>
      </c>
      <c r="E24" s="146">
        <f t="shared" si="14"/>
        <v>0.14333333333333087</v>
      </c>
      <c r="F24" s="146">
        <f t="shared" si="15"/>
        <v>8.5999999999998522E-2</v>
      </c>
      <c r="G24" s="261">
        <f t="shared" si="4"/>
        <v>88.085999999999999</v>
      </c>
      <c r="H24" s="4">
        <v>16</v>
      </c>
      <c r="I24" s="16">
        <f t="shared" si="16"/>
        <v>41471</v>
      </c>
      <c r="J24" s="6">
        <v>0.34791666666666665</v>
      </c>
      <c r="K24" s="6">
        <v>0.64236111111111105</v>
      </c>
      <c r="L24" s="5">
        <f>IF(K24&gt;0,ROUND(((K24-J24)*24)-SUM(BR24:BS24)+BT24,2)+IF(Fredagsfrokost="n",IF(WEEKDAY($I24,2)=5,IF(K24&gt;=0.5,IF(K24&lt;=13/24,0,0),0),0),0),IF(AW24&gt;0,AW24,""))</f>
        <v>7.07</v>
      </c>
      <c r="M24" s="141">
        <f t="shared" si="25"/>
        <v>7</v>
      </c>
      <c r="N24" s="141">
        <f t="shared" si="26"/>
        <v>7.0000000000000284E-2</v>
      </c>
      <c r="O24" s="141">
        <f t="shared" si="27"/>
        <v>4.2000000000000169E-2</v>
      </c>
      <c r="P24" s="162">
        <f t="shared" si="28"/>
        <v>7.0419999999999998</v>
      </c>
      <c r="Q24" s="591"/>
      <c r="R24" s="592"/>
      <c r="S24" s="592"/>
      <c r="T24" s="593"/>
      <c r="U24" s="417"/>
      <c r="V24" s="240">
        <f t="shared" si="5"/>
        <v>0</v>
      </c>
      <c r="W24" s="240">
        <f t="shared" si="17"/>
        <v>0</v>
      </c>
      <c r="X24" s="240">
        <f t="shared" si="6"/>
        <v>0</v>
      </c>
      <c r="Y24" s="242">
        <f t="shared" si="18"/>
        <v>0</v>
      </c>
      <c r="Z24" s="417"/>
      <c r="AA24" s="417"/>
      <c r="AB24" s="417"/>
      <c r="AC24" s="417"/>
      <c r="AD24" s="417"/>
      <c r="AE24" s="240">
        <f t="shared" si="0"/>
        <v>0</v>
      </c>
      <c r="AF24" s="240">
        <f t="shared" si="1"/>
        <v>0</v>
      </c>
      <c r="AG24" s="240">
        <f t="shared" si="2"/>
        <v>0</v>
      </c>
      <c r="AH24" s="242">
        <f t="shared" si="3"/>
        <v>0</v>
      </c>
      <c r="AI24" s="417"/>
      <c r="AJ24" s="417"/>
      <c r="AK24" s="417"/>
      <c r="AL24" s="417"/>
      <c r="AM24" s="472"/>
      <c r="AN24" s="240">
        <f t="shared" si="7"/>
        <v>0</v>
      </c>
      <c r="AO24" s="240">
        <f t="shared" si="8"/>
        <v>0</v>
      </c>
      <c r="AP24" s="240">
        <f t="shared" si="9"/>
        <v>0</v>
      </c>
      <c r="AQ24" s="242">
        <f t="shared" si="19"/>
        <v>0</v>
      </c>
      <c r="AR24" s="245"/>
      <c r="AS24" s="245"/>
      <c r="AT24" s="245"/>
      <c r="AU24" s="420"/>
      <c r="AZ24" s="189"/>
      <c r="BA24" s="189"/>
      <c r="BB24" s="189"/>
      <c r="BC24" s="189"/>
      <c r="BD24" s="189"/>
      <c r="BE24" s="189"/>
      <c r="BG24" s="145">
        <f>IF($K24&gt;=0,+SUM(L$9:$L24)-$B24+Jul!$AZ$41+SUM(AQ$9:$AQ24)," ")</f>
        <v>6.6666666666748142E-3</v>
      </c>
      <c r="BH24" s="144">
        <f t="shared" si="20"/>
        <v>1</v>
      </c>
      <c r="BI24" s="146">
        <f t="shared" si="21"/>
        <v>0</v>
      </c>
      <c r="BJ24" s="146">
        <f t="shared" si="22"/>
        <v>6.6666666666748142E-3</v>
      </c>
      <c r="BK24" s="146">
        <f t="shared" si="23"/>
        <v>4.0000000000048885E-3</v>
      </c>
      <c r="BL24" s="164">
        <f t="shared" si="10"/>
        <v>4.0000000000048885E-3</v>
      </c>
      <c r="BM24" s="157">
        <f t="shared" si="24"/>
        <v>7.0419999999999998</v>
      </c>
      <c r="BN24">
        <f t="shared" si="11"/>
        <v>2</v>
      </c>
    </row>
    <row r="25" spans="1:66" ht="15.95" customHeight="1" x14ac:dyDescent="0.25">
      <c r="A25" s="83"/>
      <c r="B25" s="84">
        <f>IF($I25&lt;&gt;"",IF(WEEKDAY($I25,2)&lt;6,IF(VLOOKUP(WEEKDAY($I25,2),InputUge,3)&gt;0,IF($A25="",VLOOKUP(WEEKDAY($I25,2),InputUge,3)+MAX(B$8:B24),IF($A25&lt;VLOOKUP(WEEKDAY($I25,2),InputUge,3),$A25+MAX(B$8:B24),VLOOKUP(WEEKDAY($I25,2),InputUge,3)+MAX(B$8:B24))),""),""),"")</f>
        <v>95.21</v>
      </c>
      <c r="C25" s="144">
        <f t="shared" si="12"/>
        <v>1</v>
      </c>
      <c r="D25" s="146">
        <f t="shared" si="13"/>
        <v>95</v>
      </c>
      <c r="E25" s="146">
        <f t="shared" si="14"/>
        <v>0.20999999999999375</v>
      </c>
      <c r="F25" s="146">
        <f t="shared" si="15"/>
        <v>0.12599999999999625</v>
      </c>
      <c r="G25" s="261">
        <f t="shared" si="4"/>
        <v>95.125999999999991</v>
      </c>
      <c r="H25" s="4">
        <v>17</v>
      </c>
      <c r="I25" s="16">
        <f t="shared" si="16"/>
        <v>41472</v>
      </c>
      <c r="J25" s="6">
        <v>0.34791666666666665</v>
      </c>
      <c r="K25" s="6">
        <v>0.64212962962962961</v>
      </c>
      <c r="L25" s="5">
        <f>IF(K25&gt;0,ROUND(((K25-J25)*24)-SUM(BR25:BS25)+BT25,2)+IF(Fredagsfrokost="n",IF(WEEKDAY($I25,2)=5,IF(K25&gt;=0.5,IF(K25&lt;=13/24,0,0),0),0),0),IF(AW25&gt;0,AW25,""))</f>
        <v>7.06</v>
      </c>
      <c r="M25" s="141">
        <f t="shared" si="25"/>
        <v>7</v>
      </c>
      <c r="N25" s="141">
        <f t="shared" si="26"/>
        <v>5.9999999999999609E-2</v>
      </c>
      <c r="O25" s="141">
        <f t="shared" si="27"/>
        <v>3.5999999999999761E-2</v>
      </c>
      <c r="P25" s="162">
        <f t="shared" si="28"/>
        <v>7.0359999999999996</v>
      </c>
      <c r="Q25" s="591"/>
      <c r="R25" s="592"/>
      <c r="S25" s="592"/>
      <c r="T25" s="593"/>
      <c r="U25" s="417"/>
      <c r="V25" s="240">
        <f t="shared" si="5"/>
        <v>0</v>
      </c>
      <c r="W25" s="240">
        <f t="shared" si="17"/>
        <v>0</v>
      </c>
      <c r="X25" s="240">
        <f t="shared" si="6"/>
        <v>0</v>
      </c>
      <c r="Y25" s="242">
        <f t="shared" si="18"/>
        <v>0</v>
      </c>
      <c r="Z25" s="417"/>
      <c r="AA25" s="417"/>
      <c r="AB25" s="417"/>
      <c r="AC25" s="417"/>
      <c r="AD25" s="417"/>
      <c r="AE25" s="240">
        <f t="shared" si="0"/>
        <v>0</v>
      </c>
      <c r="AF25" s="240">
        <f t="shared" si="1"/>
        <v>0</v>
      </c>
      <c r="AG25" s="240">
        <f t="shared" si="2"/>
        <v>0</v>
      </c>
      <c r="AH25" s="242">
        <f t="shared" si="3"/>
        <v>0</v>
      </c>
      <c r="AI25" s="417"/>
      <c r="AJ25" s="417"/>
      <c r="AK25" s="417"/>
      <c r="AL25" s="417"/>
      <c r="AM25" s="472"/>
      <c r="AN25" s="240">
        <f t="shared" si="7"/>
        <v>0</v>
      </c>
      <c r="AO25" s="240">
        <f t="shared" si="8"/>
        <v>0</v>
      </c>
      <c r="AP25" s="240">
        <f t="shared" si="9"/>
        <v>0</v>
      </c>
      <c r="AQ25" s="242">
        <f t="shared" si="19"/>
        <v>0</v>
      </c>
      <c r="AR25" s="245"/>
      <c r="AS25" s="245"/>
      <c r="AT25" s="245"/>
      <c r="AU25" s="420"/>
      <c r="AZ25" s="189"/>
      <c r="BA25" s="189"/>
      <c r="BB25" s="189"/>
      <c r="BC25" s="189"/>
      <c r="BD25" s="189"/>
      <c r="BE25" s="189"/>
      <c r="BG25" s="145">
        <f>IF($K25&gt;=0,+SUM(L$9:$L25)-$B25+Jul!$AZ$41+SUM(AQ$9:$AQ25)," ")</f>
        <v>1.4210854715202004E-14</v>
      </c>
      <c r="BH25" s="144">
        <f t="shared" si="20"/>
        <v>1</v>
      </c>
      <c r="BI25" s="146">
        <f t="shared" si="21"/>
        <v>0</v>
      </c>
      <c r="BJ25" s="146">
        <f t="shared" si="22"/>
        <v>1.4210854715202004E-14</v>
      </c>
      <c r="BK25" s="146">
        <f t="shared" si="23"/>
        <v>8.5265128291212019E-15</v>
      </c>
      <c r="BL25" s="164">
        <f t="shared" si="10"/>
        <v>8.5265128291212019E-15</v>
      </c>
      <c r="BM25" s="157">
        <f t="shared" si="24"/>
        <v>7.0359999999999996</v>
      </c>
      <c r="BN25">
        <f t="shared" si="11"/>
        <v>2</v>
      </c>
    </row>
    <row r="26" spans="1:66" ht="15.95" customHeight="1" x14ac:dyDescent="0.25">
      <c r="A26" s="83"/>
      <c r="B26" s="84">
        <f>IF($I26&lt;&gt;"",IF(WEEKDAY($I26,2)&lt;6,IF(VLOOKUP(WEEKDAY($I26,2),InputUge,3)&gt;0,IF($A26="",VLOOKUP(WEEKDAY($I26,2),InputUge,3)+MAX(B$8:B25),IF($A26&lt;VLOOKUP(WEEKDAY($I26,2),InputUge,3),$A26+MAX(B$8:B25),VLOOKUP(WEEKDAY($I26,2),InputUge,3)+MAX(B$8:B25))),""),""),"")</f>
        <v>104.61999999999999</v>
      </c>
      <c r="C26" s="144">
        <f t="shared" si="12"/>
        <v>1</v>
      </c>
      <c r="D26" s="146">
        <f t="shared" si="13"/>
        <v>104</v>
      </c>
      <c r="E26" s="146">
        <f t="shared" si="14"/>
        <v>0.61999999999999034</v>
      </c>
      <c r="F26" s="146">
        <f t="shared" si="15"/>
        <v>0.37199999999999422</v>
      </c>
      <c r="G26" s="261">
        <f t="shared" si="4"/>
        <v>104.372</v>
      </c>
      <c r="H26" s="4">
        <v>18</v>
      </c>
      <c r="I26" s="16">
        <f t="shared" si="16"/>
        <v>41473</v>
      </c>
      <c r="J26" s="6">
        <v>0.34791666666666665</v>
      </c>
      <c r="K26" s="6">
        <v>0.73987268518518512</v>
      </c>
      <c r="L26" s="5">
        <f>IF(K26&gt;0,ROUND(((K26-J26)*24)-SUM(BR26:BS26)+BT26,2)+IF(Fredagsfrokost="n",IF(WEEKDAY($I26,2)=5,IF(K26&gt;=0.5,IF(K26&lt;=13/24,0,0),0),0),0),IF(AW26&gt;0,AW26,""))</f>
        <v>9.41</v>
      </c>
      <c r="M26" s="141">
        <f t="shared" si="25"/>
        <v>9</v>
      </c>
      <c r="N26" s="141">
        <f t="shared" si="26"/>
        <v>0.41000000000000014</v>
      </c>
      <c r="O26" s="141">
        <f t="shared" si="27"/>
        <v>0.24600000000000008</v>
      </c>
      <c r="P26" s="162">
        <f t="shared" si="28"/>
        <v>9.2460000000000004</v>
      </c>
      <c r="Q26" s="591"/>
      <c r="R26" s="592"/>
      <c r="S26" s="592"/>
      <c r="T26" s="593"/>
      <c r="U26" s="417"/>
      <c r="V26" s="240">
        <f t="shared" si="5"/>
        <v>0</v>
      </c>
      <c r="W26" s="240">
        <f t="shared" si="17"/>
        <v>0</v>
      </c>
      <c r="X26" s="240">
        <f t="shared" si="6"/>
        <v>0</v>
      </c>
      <c r="Y26" s="242">
        <f t="shared" si="18"/>
        <v>0</v>
      </c>
      <c r="Z26" s="417"/>
      <c r="AA26" s="417"/>
      <c r="AB26" s="417"/>
      <c r="AC26" s="417"/>
      <c r="AD26" s="417"/>
      <c r="AE26" s="240">
        <f t="shared" si="0"/>
        <v>0</v>
      </c>
      <c r="AF26" s="240">
        <f t="shared" si="1"/>
        <v>0</v>
      </c>
      <c r="AG26" s="240">
        <f t="shared" si="2"/>
        <v>0</v>
      </c>
      <c r="AH26" s="242">
        <f t="shared" si="3"/>
        <v>0</v>
      </c>
      <c r="AI26" s="417"/>
      <c r="AJ26" s="417"/>
      <c r="AK26" s="417"/>
      <c r="AL26" s="417"/>
      <c r="AM26" s="472"/>
      <c r="AN26" s="240">
        <f t="shared" si="7"/>
        <v>0</v>
      </c>
      <c r="AO26" s="240">
        <f t="shared" si="8"/>
        <v>0</v>
      </c>
      <c r="AP26" s="240">
        <f t="shared" si="9"/>
        <v>0</v>
      </c>
      <c r="AQ26" s="242">
        <f t="shared" si="19"/>
        <v>0</v>
      </c>
      <c r="AR26" s="245"/>
      <c r="AS26" s="245"/>
      <c r="AT26" s="245"/>
      <c r="AU26" s="420"/>
      <c r="AZ26" s="189"/>
      <c r="BA26" s="189"/>
      <c r="BB26" s="189"/>
      <c r="BC26" s="189"/>
      <c r="BD26" s="189"/>
      <c r="BE26" s="189"/>
      <c r="BG26" s="145">
        <f>IF($K26&gt;=0,+SUM(L$9:$L26)-$B26+Jul!$AZ$41+SUM(AQ$9:$AQ26)," ")</f>
        <v>1.4210854715202004E-14</v>
      </c>
      <c r="BH26" s="144">
        <f t="shared" si="20"/>
        <v>1</v>
      </c>
      <c r="BI26" s="146">
        <f t="shared" si="21"/>
        <v>0</v>
      </c>
      <c r="BJ26" s="146">
        <f t="shared" si="22"/>
        <v>1.4210854715202004E-14</v>
      </c>
      <c r="BK26" s="146">
        <f t="shared" si="23"/>
        <v>8.5265128291212019E-15</v>
      </c>
      <c r="BL26" s="164">
        <f>IF(BN26=2,+BK26+BI26,"")</f>
        <v>8.5265128291212019E-15</v>
      </c>
      <c r="BM26" s="157">
        <f t="shared" si="24"/>
        <v>9.2460000000000004</v>
      </c>
      <c r="BN26">
        <f t="shared" si="11"/>
        <v>2</v>
      </c>
    </row>
    <row r="27" spans="1:66" ht="15.95" customHeight="1" x14ac:dyDescent="0.25">
      <c r="A27" s="83"/>
      <c r="B27" s="84">
        <f>IF($I27&lt;&gt;"",IF(WEEKDAY($I27,2)&lt;6,IF(VLOOKUP(WEEKDAY($I27,2),InputUge,3)&gt;0,IF($A27="",VLOOKUP(WEEKDAY($I27,2),InputUge,3)+MAX(B$8:B26),IF($A27&lt;VLOOKUP(WEEKDAY($I27,2),InputUge,3),$A27+MAX(B$8:B26),VLOOKUP(WEEKDAY($I27,2),InputUge,3)+MAX(B$8:B26))),""),""),"")</f>
        <v>111.02</v>
      </c>
      <c r="C27" s="144">
        <f t="shared" si="12"/>
        <v>1</v>
      </c>
      <c r="D27" s="146">
        <f t="shared" si="13"/>
        <v>111</v>
      </c>
      <c r="E27" s="146">
        <f t="shared" si="14"/>
        <v>1.9999999999996021E-2</v>
      </c>
      <c r="F27" s="146">
        <f t="shared" si="15"/>
        <v>1.1999999999997613E-2</v>
      </c>
      <c r="G27" s="261">
        <f t="shared" si="4"/>
        <v>111.012</v>
      </c>
      <c r="H27" s="4">
        <v>19</v>
      </c>
      <c r="I27" s="16">
        <f t="shared" si="16"/>
        <v>41474</v>
      </c>
      <c r="J27" s="6">
        <v>0.34791666666666665</v>
      </c>
      <c r="K27" s="6">
        <v>0.61458333333333337</v>
      </c>
      <c r="L27" s="5">
        <f>IF(K27&gt;0,ROUND(((K27-J27)*24)-SUM(BR27:BS27)+BT27,2)+IF(Fredagsfrokost="n",IF(WEEKDAY($I27,2)=5,IF(K27&gt;=0.5,IF(K27&lt;=13/24,0,0),0),0),0),IF(AW27&gt;0,AW27,""))</f>
        <v>6.4</v>
      </c>
      <c r="M27" s="141">
        <f t="shared" si="25"/>
        <v>6</v>
      </c>
      <c r="N27" s="141">
        <f t="shared" si="26"/>
        <v>0.40000000000000036</v>
      </c>
      <c r="O27" s="141">
        <f t="shared" si="27"/>
        <v>0.24000000000000021</v>
      </c>
      <c r="P27" s="162">
        <f t="shared" si="28"/>
        <v>6.24</v>
      </c>
      <c r="Q27" s="591"/>
      <c r="R27" s="592"/>
      <c r="S27" s="592"/>
      <c r="T27" s="593"/>
      <c r="U27" s="417"/>
      <c r="V27" s="240">
        <f t="shared" si="5"/>
        <v>0</v>
      </c>
      <c r="W27" s="240">
        <f t="shared" si="17"/>
        <v>0</v>
      </c>
      <c r="X27" s="240">
        <f t="shared" si="6"/>
        <v>0</v>
      </c>
      <c r="Y27" s="242">
        <f t="shared" si="18"/>
        <v>0</v>
      </c>
      <c r="Z27" s="417"/>
      <c r="AA27" s="417"/>
      <c r="AB27" s="417"/>
      <c r="AC27" s="417"/>
      <c r="AD27" s="417"/>
      <c r="AE27" s="240">
        <f t="shared" si="0"/>
        <v>0</v>
      </c>
      <c r="AF27" s="240">
        <f t="shared" si="1"/>
        <v>0</v>
      </c>
      <c r="AG27" s="240">
        <f t="shared" si="2"/>
        <v>0</v>
      </c>
      <c r="AH27" s="242">
        <f t="shared" si="3"/>
        <v>0</v>
      </c>
      <c r="AI27" s="417"/>
      <c r="AJ27" s="417"/>
      <c r="AK27" s="417"/>
      <c r="AL27" s="417"/>
      <c r="AM27" s="472"/>
      <c r="AN27" s="240">
        <f t="shared" si="7"/>
        <v>0</v>
      </c>
      <c r="AO27" s="240">
        <f t="shared" si="8"/>
        <v>0</v>
      </c>
      <c r="AP27" s="240">
        <f t="shared" si="9"/>
        <v>0</v>
      </c>
      <c r="AQ27" s="242">
        <f t="shared" si="19"/>
        <v>0</v>
      </c>
      <c r="AR27" s="245"/>
      <c r="AS27" s="245"/>
      <c r="AT27" s="245"/>
      <c r="AU27" s="420"/>
      <c r="AZ27" s="189"/>
      <c r="BA27" s="189"/>
      <c r="BB27" s="189"/>
      <c r="BC27" s="189"/>
      <c r="BD27" s="189"/>
      <c r="BE27" s="189"/>
      <c r="BG27" s="145">
        <f>IF($K27&gt;=0,+SUM(L$9:$L27)-$B27+Jul!$AZ$41+SUM(AQ$9:$AQ27)," ")</f>
        <v>1.4210854715202004E-14</v>
      </c>
      <c r="BH27" s="144">
        <f t="shared" si="20"/>
        <v>1</v>
      </c>
      <c r="BI27" s="146">
        <f t="shared" si="21"/>
        <v>0</v>
      </c>
      <c r="BJ27" s="146">
        <f t="shared" si="22"/>
        <v>1.4210854715202004E-14</v>
      </c>
      <c r="BK27" s="146">
        <f t="shared" si="23"/>
        <v>8.5265128291212019E-15</v>
      </c>
      <c r="BL27" s="164">
        <f t="shared" si="10"/>
        <v>8.5265128291212019E-15</v>
      </c>
      <c r="BM27" s="157">
        <f t="shared" si="24"/>
        <v>6.24</v>
      </c>
      <c r="BN27">
        <f t="shared" si="11"/>
        <v>2</v>
      </c>
    </row>
    <row r="28" spans="1:66" ht="15.95" customHeight="1" x14ac:dyDescent="0.25">
      <c r="A28" s="83"/>
      <c r="B28" s="84" t="str">
        <f>IF($I28&lt;&gt;"",IF(WEEKDAY($I28,2)&lt;6,IF(VLOOKUP(WEEKDAY($I28,2),InputUge,3)&gt;0,IF($A28="",VLOOKUP(WEEKDAY($I28,2),InputUge,3)+MAX(B$8:B27),IF($A28&lt;VLOOKUP(WEEKDAY($I28,2),InputUge,3),$A28+MAX(B$8:B27),VLOOKUP(WEEKDAY($I28,2),InputUge,3)+MAX(B$8:B27))),""),""),"")</f>
        <v/>
      </c>
      <c r="C28" s="144">
        <f t="shared" si="12"/>
        <v>1</v>
      </c>
      <c r="D28" s="146" t="e">
        <f t="shared" si="13"/>
        <v>#VALUE!</v>
      </c>
      <c r="E28" s="146" t="e">
        <f t="shared" si="14"/>
        <v>#VALUE!</v>
      </c>
      <c r="F28" s="146" t="e">
        <f t="shared" si="15"/>
        <v>#VALUE!</v>
      </c>
      <c r="G28" s="261"/>
      <c r="H28" s="4">
        <v>20</v>
      </c>
      <c r="I28" s="16">
        <f t="shared" si="16"/>
        <v>41475</v>
      </c>
      <c r="J28" s="6"/>
      <c r="K28" s="6"/>
      <c r="L28" s="5"/>
      <c r="M28" s="141"/>
      <c r="N28" s="141"/>
      <c r="O28" s="141"/>
      <c r="P28" s="162"/>
      <c r="Q28" s="591"/>
      <c r="R28" s="592"/>
      <c r="S28" s="592"/>
      <c r="T28" s="593"/>
      <c r="U28" s="417"/>
      <c r="V28" s="240">
        <f t="shared" si="5"/>
        <v>0</v>
      </c>
      <c r="W28" s="240">
        <f t="shared" si="17"/>
        <v>0</v>
      </c>
      <c r="X28" s="240">
        <f t="shared" si="6"/>
        <v>0</v>
      </c>
      <c r="Y28" s="242">
        <f t="shared" si="18"/>
        <v>0</v>
      </c>
      <c r="Z28" s="417"/>
      <c r="AA28" s="417"/>
      <c r="AB28" s="417"/>
      <c r="AC28" s="417"/>
      <c r="AD28" s="417"/>
      <c r="AE28" s="240">
        <f t="shared" si="0"/>
        <v>0</v>
      </c>
      <c r="AF28" s="240">
        <f t="shared" si="1"/>
        <v>0</v>
      </c>
      <c r="AG28" s="240">
        <f t="shared" si="2"/>
        <v>0</v>
      </c>
      <c r="AH28" s="242">
        <f t="shared" si="3"/>
        <v>0</v>
      </c>
      <c r="AI28" s="417"/>
      <c r="AJ28" s="417"/>
      <c r="AK28" s="417"/>
      <c r="AL28" s="417"/>
      <c r="AM28" s="472"/>
      <c r="AN28" s="240">
        <f t="shared" si="7"/>
        <v>0</v>
      </c>
      <c r="AO28" s="240">
        <f t="shared" si="8"/>
        <v>0</v>
      </c>
      <c r="AP28" s="240">
        <f t="shared" si="9"/>
        <v>0</v>
      </c>
      <c r="AQ28" s="242">
        <f t="shared" si="19"/>
        <v>0</v>
      </c>
      <c r="AR28" s="245"/>
      <c r="AS28" s="245"/>
      <c r="AT28" s="245"/>
      <c r="AU28" s="420"/>
      <c r="AZ28" s="189"/>
      <c r="BA28" s="189"/>
      <c r="BB28" s="189"/>
      <c r="BC28" s="189"/>
      <c r="BD28" s="189"/>
      <c r="BE28" s="189"/>
      <c r="BG28" s="145" t="e">
        <f>IF($K28&gt;=0,+SUM(L$9:$L28)-$B28+Jul!$AZ$41+SUM(AQ$9:$AQ28)," ")</f>
        <v>#VALUE!</v>
      </c>
      <c r="BH28" s="144" t="e">
        <f t="shared" si="20"/>
        <v>#VALUE!</v>
      </c>
      <c r="BI28" s="146" t="e">
        <f t="shared" si="21"/>
        <v>#VALUE!</v>
      </c>
      <c r="BJ28" s="146" t="e">
        <f t="shared" si="22"/>
        <v>#VALUE!</v>
      </c>
      <c r="BK28" s="146" t="e">
        <f t="shared" si="23"/>
        <v>#VALUE!</v>
      </c>
      <c r="BL28" s="164"/>
      <c r="BM28" s="157">
        <f t="shared" si="24"/>
        <v>0</v>
      </c>
      <c r="BN28">
        <f t="shared" si="11"/>
        <v>2</v>
      </c>
    </row>
    <row r="29" spans="1:66" ht="15.95" customHeight="1" x14ac:dyDescent="0.25">
      <c r="A29" s="83"/>
      <c r="B29" s="84" t="str">
        <f>IF($I29&lt;&gt;"",IF(WEEKDAY($I29,2)&lt;6,IF(VLOOKUP(WEEKDAY($I29,2),InputUge,3)&gt;0,IF($A29="",VLOOKUP(WEEKDAY($I29,2),InputUge,3)+MAX(B$8:B28),IF($A29&lt;VLOOKUP(WEEKDAY($I29,2),InputUge,3),$A29+MAX(B$8:B28),VLOOKUP(WEEKDAY($I29,2),InputUge,3)+MAX(B$8:B28))),""),""),"")</f>
        <v/>
      </c>
      <c r="C29" s="144">
        <f t="shared" si="12"/>
        <v>1</v>
      </c>
      <c r="D29" s="146" t="e">
        <f t="shared" si="13"/>
        <v>#VALUE!</v>
      </c>
      <c r="E29" s="146" t="e">
        <f t="shared" si="14"/>
        <v>#VALUE!</v>
      </c>
      <c r="F29" s="146" t="e">
        <f t="shared" si="15"/>
        <v>#VALUE!</v>
      </c>
      <c r="G29" s="261"/>
      <c r="H29" s="4">
        <v>21</v>
      </c>
      <c r="I29" s="16">
        <f t="shared" si="16"/>
        <v>41476</v>
      </c>
      <c r="J29" s="6"/>
      <c r="K29" s="6"/>
      <c r="L29" s="5"/>
      <c r="M29" s="141">
        <f t="shared" ref="M29:M34" si="29">FLOOR(L29,1)</f>
        <v>0</v>
      </c>
      <c r="N29" s="141">
        <f t="shared" ref="N29:N34" si="30">+L29-M29</f>
        <v>0</v>
      </c>
      <c r="O29" s="141">
        <f t="shared" ref="O29:O34" si="31">+N29/100*60</f>
        <v>0</v>
      </c>
      <c r="P29" s="141" t="str">
        <f t="shared" ref="P29:P34" si="32">IF(J29="","",O29+M29)</f>
        <v/>
      </c>
      <c r="Q29" s="591"/>
      <c r="R29" s="592"/>
      <c r="S29" s="592"/>
      <c r="T29" s="593"/>
      <c r="U29" s="417"/>
      <c r="V29" s="240">
        <f t="shared" si="5"/>
        <v>0</v>
      </c>
      <c r="W29" s="240">
        <f t="shared" si="17"/>
        <v>0</v>
      </c>
      <c r="X29" s="240">
        <f t="shared" si="6"/>
        <v>0</v>
      </c>
      <c r="Y29" s="242">
        <f t="shared" si="18"/>
        <v>0</v>
      </c>
      <c r="Z29" s="417"/>
      <c r="AA29" s="417"/>
      <c r="AB29" s="417"/>
      <c r="AC29" s="417"/>
      <c r="AD29" s="417"/>
      <c r="AE29" s="240">
        <f t="shared" si="0"/>
        <v>0</v>
      </c>
      <c r="AF29" s="240">
        <f t="shared" si="1"/>
        <v>0</v>
      </c>
      <c r="AG29" s="240">
        <f t="shared" si="2"/>
        <v>0</v>
      </c>
      <c r="AH29" s="242">
        <f t="shared" si="3"/>
        <v>0</v>
      </c>
      <c r="AI29" s="417"/>
      <c r="AJ29" s="417"/>
      <c r="AK29" s="417"/>
      <c r="AL29" s="417"/>
      <c r="AM29" s="472"/>
      <c r="AN29" s="240">
        <f t="shared" si="7"/>
        <v>0</v>
      </c>
      <c r="AO29" s="240">
        <f t="shared" si="8"/>
        <v>0</v>
      </c>
      <c r="AP29" s="240">
        <f t="shared" si="9"/>
        <v>0</v>
      </c>
      <c r="AQ29" s="242">
        <f t="shared" si="19"/>
        <v>0</v>
      </c>
      <c r="AR29" s="245"/>
      <c r="AS29" s="245"/>
      <c r="AT29" s="245"/>
      <c r="AU29" s="420"/>
      <c r="AZ29" s="189"/>
      <c r="BA29" s="189"/>
      <c r="BB29" s="189"/>
      <c r="BC29" s="189"/>
      <c r="BD29" s="189"/>
      <c r="BE29" s="189"/>
      <c r="BG29" s="145" t="e">
        <f>IF($K29&gt;=0,+SUM(L$9:$L29)-$B29+Jul!$AZ$41+SUM(AQ$9:$AQ29)," ")</f>
        <v>#VALUE!</v>
      </c>
      <c r="BH29" s="144" t="e">
        <f t="shared" si="20"/>
        <v>#VALUE!</v>
      </c>
      <c r="BI29" s="146" t="e">
        <f t="shared" si="21"/>
        <v>#VALUE!</v>
      </c>
      <c r="BJ29" s="146" t="e">
        <f t="shared" si="22"/>
        <v>#VALUE!</v>
      </c>
      <c r="BK29" s="146" t="e">
        <f t="shared" si="23"/>
        <v>#VALUE!</v>
      </c>
      <c r="BL29" s="164" t="str">
        <f t="shared" si="10"/>
        <v/>
      </c>
      <c r="BM29" s="157" t="str">
        <f t="shared" si="24"/>
        <v/>
      </c>
      <c r="BN29">
        <f t="shared" si="11"/>
        <v>1</v>
      </c>
    </row>
    <row r="30" spans="1:66" ht="15.95" customHeight="1" x14ac:dyDescent="0.25">
      <c r="A30" s="83"/>
      <c r="B30" s="84">
        <f>IF($I30&lt;&gt;"",IF(WEEKDAY($I30,2)&lt;6,IF(VLOOKUP(WEEKDAY($I30,2),InputUge,3)&gt;0,IF($A30="",VLOOKUP(WEEKDAY($I30,2),InputUge,3)+MAX(B$8:B29),IF($A30&lt;VLOOKUP(WEEKDAY($I30,2),InputUge,3),$A30+MAX(B$8:B29),VLOOKUP(WEEKDAY($I30,2),InputUge,3)+MAX(B$8:B29))),""),""),"")</f>
        <v>118.08333333333333</v>
      </c>
      <c r="C30" s="144">
        <f t="shared" si="12"/>
        <v>1</v>
      </c>
      <c r="D30" s="146">
        <f t="shared" si="13"/>
        <v>118</v>
      </c>
      <c r="E30" s="146">
        <f t="shared" si="14"/>
        <v>8.3333333333328596E-2</v>
      </c>
      <c r="F30" s="146">
        <f t="shared" si="15"/>
        <v>4.9999999999997158E-2</v>
      </c>
      <c r="G30" s="261"/>
      <c r="H30" s="4">
        <v>22</v>
      </c>
      <c r="I30" s="16">
        <f t="shared" si="16"/>
        <v>41477</v>
      </c>
      <c r="J30" s="6">
        <v>0.34826388888888887</v>
      </c>
      <c r="K30" s="6">
        <v>0.64236111111111105</v>
      </c>
      <c r="L30" s="5">
        <f>IF(K30&gt;0,ROUND(((K30-J30)*24)-SUM(BR30:BS30)+BT30,2)+IF(Fredagsfrokost="n",IF(WEEKDAY($I30,2)=5,IF(K30&gt;=0.5,IF(K30&lt;=13/24,0,0),0),0),0),IF(AW30&gt;0,AW30,""))</f>
        <v>7.06</v>
      </c>
      <c r="M30" s="141">
        <f t="shared" si="29"/>
        <v>7</v>
      </c>
      <c r="N30" s="141">
        <f t="shared" si="30"/>
        <v>5.9999999999999609E-2</v>
      </c>
      <c r="O30" s="141">
        <f t="shared" si="31"/>
        <v>3.5999999999999761E-2</v>
      </c>
      <c r="P30" s="162">
        <f t="shared" si="32"/>
        <v>7.0359999999999996</v>
      </c>
      <c r="Q30" s="591"/>
      <c r="R30" s="592"/>
      <c r="S30" s="592"/>
      <c r="T30" s="593"/>
      <c r="U30" s="417"/>
      <c r="V30" s="240">
        <f t="shared" si="5"/>
        <v>0</v>
      </c>
      <c r="W30" s="240">
        <f t="shared" si="17"/>
        <v>0</v>
      </c>
      <c r="X30" s="240">
        <f t="shared" si="6"/>
        <v>0</v>
      </c>
      <c r="Y30" s="242">
        <f t="shared" si="18"/>
        <v>0</v>
      </c>
      <c r="Z30" s="417"/>
      <c r="AA30" s="417"/>
      <c r="AB30" s="417"/>
      <c r="AC30" s="417"/>
      <c r="AD30" s="417"/>
      <c r="AE30" s="240">
        <f t="shared" si="0"/>
        <v>0</v>
      </c>
      <c r="AF30" s="240">
        <f t="shared" si="1"/>
        <v>0</v>
      </c>
      <c r="AG30" s="240">
        <f t="shared" si="2"/>
        <v>0</v>
      </c>
      <c r="AH30" s="242">
        <f t="shared" si="3"/>
        <v>0</v>
      </c>
      <c r="AI30" s="417"/>
      <c r="AJ30" s="417"/>
      <c r="AK30" s="417"/>
      <c r="AL30" s="417"/>
      <c r="AM30" s="472"/>
      <c r="AN30" s="240">
        <f t="shared" si="7"/>
        <v>0</v>
      </c>
      <c r="AO30" s="240">
        <f t="shared" si="8"/>
        <v>0</v>
      </c>
      <c r="AP30" s="240">
        <f t="shared" si="9"/>
        <v>0</v>
      </c>
      <c r="AQ30" s="242">
        <f t="shared" si="19"/>
        <v>0</v>
      </c>
      <c r="AR30" s="245"/>
      <c r="AS30" s="245"/>
      <c r="AT30" s="245"/>
      <c r="AU30" s="420"/>
      <c r="AZ30" s="189"/>
      <c r="BA30" s="189"/>
      <c r="BB30" s="189"/>
      <c r="BC30" s="189"/>
      <c r="BD30" s="189"/>
      <c r="BE30" s="189"/>
      <c r="BG30" s="145">
        <f>IF($K30&gt;=0,+SUM(L$9:$L30)-$B30+Jul!$AZ$41+SUM(AQ$9:$AQ30)," ")</f>
        <v>-3.3333333333160908E-3</v>
      </c>
      <c r="BH30" s="144">
        <f t="shared" si="20"/>
        <v>-1</v>
      </c>
      <c r="BI30" s="146">
        <f t="shared" si="21"/>
        <v>0</v>
      </c>
      <c r="BJ30" s="146">
        <f t="shared" si="22"/>
        <v>-3.3333333333160908E-3</v>
      </c>
      <c r="BK30" s="146">
        <f t="shared" si="23"/>
        <v>-1.9999999999896542E-3</v>
      </c>
      <c r="BL30" s="164">
        <f t="shared" si="10"/>
        <v>-1.9999999999896542E-3</v>
      </c>
      <c r="BM30" s="157">
        <f t="shared" si="24"/>
        <v>7.0359999999999996</v>
      </c>
      <c r="BN30">
        <f t="shared" si="11"/>
        <v>2</v>
      </c>
    </row>
    <row r="31" spans="1:66" ht="15.95" customHeight="1" x14ac:dyDescent="0.25">
      <c r="A31" s="83"/>
      <c r="B31" s="84">
        <f>IF($I31&lt;&gt;"",IF(WEEKDAY($I31,2)&lt;6,IF(VLOOKUP(WEEKDAY($I31,2),InputUge,3)&gt;0,IF($A31="",VLOOKUP(WEEKDAY($I31,2),InputUge,3)+MAX(B$8:B30),IF($A31&lt;VLOOKUP(WEEKDAY($I31,2),InputUge,3),$A31+MAX(B$8:B30),VLOOKUP(WEEKDAY($I31,2),InputUge,3)+MAX(B$8:B30))),""),""),"")</f>
        <v>125.14999999999999</v>
      </c>
      <c r="C31" s="144">
        <f t="shared" si="12"/>
        <v>1</v>
      </c>
      <c r="D31" s="146">
        <f t="shared" si="13"/>
        <v>125</v>
      </c>
      <c r="E31" s="146">
        <f t="shared" si="14"/>
        <v>0.14999999999999147</v>
      </c>
      <c r="F31" s="146">
        <f t="shared" si="15"/>
        <v>8.999999999999489E-2</v>
      </c>
      <c r="G31" s="261">
        <f t="shared" si="4"/>
        <v>125.08999999999999</v>
      </c>
      <c r="H31" s="4">
        <v>23</v>
      </c>
      <c r="I31" s="16">
        <f t="shared" si="16"/>
        <v>41478</v>
      </c>
      <c r="J31" s="6">
        <v>0.34791666666666665</v>
      </c>
      <c r="K31" s="6">
        <v>0.64236111111111105</v>
      </c>
      <c r="L31" s="5">
        <f>IF(K31&gt;0,ROUND(((K31-J31)*24)-SUM(BR31:BS31)+BT31,2)+IF(Fredagsfrokost="n",IF(WEEKDAY($I31,2)=5,IF(K31&gt;=0.5,IF(K31&lt;=13/24,0,0),0),0),0),IF(AW31&gt;0,AW31,""))</f>
        <v>7.07</v>
      </c>
      <c r="M31" s="141">
        <f t="shared" si="29"/>
        <v>7</v>
      </c>
      <c r="N31" s="141">
        <f t="shared" si="30"/>
        <v>7.0000000000000284E-2</v>
      </c>
      <c r="O31" s="141">
        <f t="shared" si="31"/>
        <v>4.2000000000000169E-2</v>
      </c>
      <c r="P31" s="162">
        <f t="shared" si="32"/>
        <v>7.0419999999999998</v>
      </c>
      <c r="Q31" s="591"/>
      <c r="R31" s="592"/>
      <c r="S31" s="592"/>
      <c r="T31" s="593"/>
      <c r="U31" s="417"/>
      <c r="V31" s="240">
        <f t="shared" si="5"/>
        <v>0</v>
      </c>
      <c r="W31" s="240">
        <f t="shared" si="17"/>
        <v>0</v>
      </c>
      <c r="X31" s="240">
        <f t="shared" si="6"/>
        <v>0</v>
      </c>
      <c r="Y31" s="242">
        <f t="shared" si="18"/>
        <v>0</v>
      </c>
      <c r="Z31" s="417"/>
      <c r="AA31" s="417"/>
      <c r="AB31" s="417"/>
      <c r="AC31" s="417"/>
      <c r="AD31" s="417"/>
      <c r="AE31" s="240">
        <f t="shared" si="0"/>
        <v>0</v>
      </c>
      <c r="AF31" s="240">
        <f t="shared" si="1"/>
        <v>0</v>
      </c>
      <c r="AG31" s="240">
        <f t="shared" si="2"/>
        <v>0</v>
      </c>
      <c r="AH31" s="242">
        <f t="shared" si="3"/>
        <v>0</v>
      </c>
      <c r="AI31" s="417"/>
      <c r="AJ31" s="417"/>
      <c r="AK31" s="417"/>
      <c r="AL31" s="417"/>
      <c r="AM31" s="472"/>
      <c r="AN31" s="240">
        <f t="shared" si="7"/>
        <v>0</v>
      </c>
      <c r="AO31" s="240">
        <f t="shared" si="8"/>
        <v>0</v>
      </c>
      <c r="AP31" s="240">
        <f t="shared" si="9"/>
        <v>0</v>
      </c>
      <c r="AQ31" s="242">
        <f t="shared" si="19"/>
        <v>0</v>
      </c>
      <c r="AR31" s="245"/>
      <c r="AS31" s="245"/>
      <c r="AT31" s="245"/>
      <c r="AU31" s="420"/>
      <c r="AZ31" s="189"/>
      <c r="BA31" s="189"/>
      <c r="BB31" s="189"/>
      <c r="BC31" s="189"/>
      <c r="BD31" s="189"/>
      <c r="BE31" s="189"/>
      <c r="BG31" s="145">
        <f>IF($K31&gt;=0,+SUM(L$9:$L31)-$B31+Jul!$AZ$41+SUM(AQ$9:$AQ31)," ")</f>
        <v>1.4210854715202004E-14</v>
      </c>
      <c r="BH31" s="144">
        <f t="shared" si="20"/>
        <v>1</v>
      </c>
      <c r="BI31" s="146">
        <f t="shared" si="21"/>
        <v>0</v>
      </c>
      <c r="BJ31" s="146">
        <f t="shared" si="22"/>
        <v>1.4210854715202004E-14</v>
      </c>
      <c r="BK31" s="146">
        <f t="shared" si="23"/>
        <v>8.5265128291212019E-15</v>
      </c>
      <c r="BL31" s="164">
        <f t="shared" si="10"/>
        <v>8.5265128291212019E-15</v>
      </c>
      <c r="BM31" s="157">
        <f t="shared" si="24"/>
        <v>7.0419999999999998</v>
      </c>
      <c r="BN31">
        <f t="shared" si="11"/>
        <v>2</v>
      </c>
    </row>
    <row r="32" spans="1:66" ht="15.95" customHeight="1" x14ac:dyDescent="0.25">
      <c r="A32" s="83"/>
      <c r="B32" s="84">
        <f>IF($I32&lt;&gt;"",IF(WEEKDAY($I32,2)&lt;6,IF(VLOOKUP(WEEKDAY($I32,2),InputUge,3)&gt;0,IF($A32="",VLOOKUP(WEEKDAY($I32,2),InputUge,3)+MAX(B$8:B31),IF($A32&lt;VLOOKUP(WEEKDAY($I32,2),InputUge,3),$A32+MAX(B$8:B31),VLOOKUP(WEEKDAY($I32,2),InputUge,3)+MAX(B$8:B31))),""),""),"")</f>
        <v>132.21666666666667</v>
      </c>
      <c r="C32" s="144">
        <f t="shared" si="12"/>
        <v>1</v>
      </c>
      <c r="D32" s="146">
        <f t="shared" si="13"/>
        <v>132</v>
      </c>
      <c r="E32" s="146">
        <f t="shared" si="14"/>
        <v>0.21666666666666856</v>
      </c>
      <c r="F32" s="146">
        <f t="shared" si="15"/>
        <v>0.13000000000000114</v>
      </c>
      <c r="G32" s="261">
        <f t="shared" si="4"/>
        <v>132.13</v>
      </c>
      <c r="H32" s="4">
        <v>24</v>
      </c>
      <c r="I32" s="16">
        <f t="shared" si="16"/>
        <v>41479</v>
      </c>
      <c r="J32" s="6">
        <v>0.34791666666666665</v>
      </c>
      <c r="K32" s="6">
        <v>0.64236111111111105</v>
      </c>
      <c r="L32" s="5">
        <f>IF(K32&gt;0,ROUND(((K32-J32)*24)-SUM(BR32:BS32)+BT32,2)+IF(Fredagsfrokost="n",IF(WEEKDAY($I32,2)=5,IF(K32&gt;=0.5,IF(K32&lt;=13/24,0,0),0),0),0),IF(AW32&gt;0,AW32,""))</f>
        <v>7.07</v>
      </c>
      <c r="M32" s="141">
        <f t="shared" si="29"/>
        <v>7</v>
      </c>
      <c r="N32" s="141">
        <f t="shared" si="30"/>
        <v>7.0000000000000284E-2</v>
      </c>
      <c r="O32" s="141">
        <f t="shared" si="31"/>
        <v>4.2000000000000169E-2</v>
      </c>
      <c r="P32" s="162">
        <f t="shared" si="32"/>
        <v>7.0419999999999998</v>
      </c>
      <c r="Q32" s="591"/>
      <c r="R32" s="592"/>
      <c r="S32" s="592"/>
      <c r="T32" s="593"/>
      <c r="U32" s="417"/>
      <c r="V32" s="240">
        <f t="shared" si="5"/>
        <v>0</v>
      </c>
      <c r="W32" s="240">
        <f t="shared" si="17"/>
        <v>0</v>
      </c>
      <c r="X32" s="240">
        <f t="shared" si="6"/>
        <v>0</v>
      </c>
      <c r="Y32" s="242">
        <f t="shared" si="18"/>
        <v>0</v>
      </c>
      <c r="Z32" s="417"/>
      <c r="AA32" s="417"/>
      <c r="AB32" s="417"/>
      <c r="AC32" s="417"/>
      <c r="AD32" s="417"/>
      <c r="AE32" s="240">
        <f t="shared" si="0"/>
        <v>0</v>
      </c>
      <c r="AF32" s="240">
        <f t="shared" si="1"/>
        <v>0</v>
      </c>
      <c r="AG32" s="240">
        <f t="shared" si="2"/>
        <v>0</v>
      </c>
      <c r="AH32" s="242">
        <f t="shared" si="3"/>
        <v>0</v>
      </c>
      <c r="AI32" s="417"/>
      <c r="AJ32" s="417"/>
      <c r="AK32" s="417"/>
      <c r="AL32" s="417"/>
      <c r="AM32" s="472"/>
      <c r="AN32" s="240">
        <f t="shared" si="7"/>
        <v>0</v>
      </c>
      <c r="AO32" s="240">
        <f t="shared" si="8"/>
        <v>0</v>
      </c>
      <c r="AP32" s="240">
        <f t="shared" si="9"/>
        <v>0</v>
      </c>
      <c r="AQ32" s="242">
        <f t="shared" si="19"/>
        <v>0</v>
      </c>
      <c r="AR32" s="245"/>
      <c r="AS32" s="245"/>
      <c r="AT32" s="245"/>
      <c r="AU32" s="420"/>
      <c r="AZ32" s="189"/>
      <c r="BA32" s="189"/>
      <c r="BB32" s="189"/>
      <c r="BC32" s="189"/>
      <c r="BD32" s="189"/>
      <c r="BE32" s="189"/>
      <c r="BG32" s="145">
        <f>IF($K32&gt;=0,+SUM(L$9:$L32)-$B32+Jul!$AZ$41+SUM(AQ$9:$AQ32)," ")</f>
        <v>3.3333333333303017E-3</v>
      </c>
      <c r="BH32" s="144">
        <f t="shared" si="20"/>
        <v>1</v>
      </c>
      <c r="BI32" s="146">
        <f t="shared" si="21"/>
        <v>0</v>
      </c>
      <c r="BJ32" s="146">
        <f t="shared" si="22"/>
        <v>3.3333333333303017E-3</v>
      </c>
      <c r="BK32" s="146">
        <f t="shared" si="23"/>
        <v>1.9999999999981812E-3</v>
      </c>
      <c r="BL32" s="164">
        <f>IF(BN32=2,+BK32+BI32,"")</f>
        <v>1.9999999999981812E-3</v>
      </c>
      <c r="BM32" s="157">
        <f>+P32</f>
        <v>7.0419999999999998</v>
      </c>
      <c r="BN32">
        <f t="shared" si="11"/>
        <v>2</v>
      </c>
    </row>
    <row r="33" spans="1:66" ht="15.95" customHeight="1" x14ac:dyDescent="0.25">
      <c r="A33" s="83"/>
      <c r="B33" s="84">
        <f>IF($I33&lt;&gt;"",IF(WEEKDAY($I33,2)&lt;6,IF(VLOOKUP(WEEKDAY($I33,2),InputUge,3)&gt;0,IF($A33="",VLOOKUP(WEEKDAY($I33,2),InputUge,3)+MAX(B$8:B32),IF($A33&lt;VLOOKUP(WEEKDAY($I33,2),InputUge,3),$A33+MAX(B$8:B32),VLOOKUP(WEEKDAY($I33,2),InputUge,3)+MAX(B$8:B32))),""),""),"")</f>
        <v>141.62666666666667</v>
      </c>
      <c r="C33" s="144">
        <f t="shared" si="12"/>
        <v>1</v>
      </c>
      <c r="D33" s="146">
        <f t="shared" si="13"/>
        <v>141</v>
      </c>
      <c r="E33" s="146">
        <f t="shared" si="14"/>
        <v>0.62666666666666515</v>
      </c>
      <c r="F33" s="146">
        <f t="shared" si="15"/>
        <v>0.37599999999999906</v>
      </c>
      <c r="G33" s="261">
        <f t="shared" si="4"/>
        <v>141.376</v>
      </c>
      <c r="H33" s="4">
        <v>25</v>
      </c>
      <c r="I33" s="16">
        <f t="shared" si="16"/>
        <v>41480</v>
      </c>
      <c r="J33" s="6">
        <v>0.34791666666666665</v>
      </c>
      <c r="K33" s="6">
        <v>0.73958333333333337</v>
      </c>
      <c r="L33" s="5">
        <f>IF(K33&gt;0,ROUND(((K33-J33)*24)-SUM(BR33:BS33)+BT33,2)+IF(Fredagsfrokost="n",IF(WEEKDAY($I33,2)=5,IF(K33&gt;=0.5,IF(K33&lt;=13/24,0,0),0),0),0),IF(AW33&gt;0,AW33,""))</f>
        <v>9.4</v>
      </c>
      <c r="M33" s="141">
        <f t="shared" si="29"/>
        <v>9</v>
      </c>
      <c r="N33" s="141">
        <f t="shared" si="30"/>
        <v>0.40000000000000036</v>
      </c>
      <c r="O33" s="141">
        <f t="shared" si="31"/>
        <v>0.24000000000000021</v>
      </c>
      <c r="P33" s="162">
        <f t="shared" si="32"/>
        <v>9.24</v>
      </c>
      <c r="Q33" s="591"/>
      <c r="R33" s="592"/>
      <c r="S33" s="592"/>
      <c r="T33" s="593"/>
      <c r="U33" s="417"/>
      <c r="V33" s="240">
        <f t="shared" si="5"/>
        <v>0</v>
      </c>
      <c r="W33" s="240">
        <f t="shared" si="17"/>
        <v>0</v>
      </c>
      <c r="X33" s="240">
        <f t="shared" si="6"/>
        <v>0</v>
      </c>
      <c r="Y33" s="242">
        <f t="shared" si="18"/>
        <v>0</v>
      </c>
      <c r="Z33" s="417"/>
      <c r="AA33" s="417"/>
      <c r="AB33" s="417"/>
      <c r="AC33" s="417"/>
      <c r="AD33" s="417"/>
      <c r="AE33" s="240">
        <f t="shared" si="0"/>
        <v>0</v>
      </c>
      <c r="AF33" s="240">
        <f t="shared" si="1"/>
        <v>0</v>
      </c>
      <c r="AG33" s="240">
        <f t="shared" si="2"/>
        <v>0</v>
      </c>
      <c r="AH33" s="242">
        <f t="shared" si="3"/>
        <v>0</v>
      </c>
      <c r="AI33" s="417"/>
      <c r="AJ33" s="417"/>
      <c r="AK33" s="417"/>
      <c r="AL33" s="417"/>
      <c r="AM33" s="472"/>
      <c r="AN33" s="240">
        <f t="shared" si="7"/>
        <v>0</v>
      </c>
      <c r="AO33" s="240">
        <f t="shared" si="8"/>
        <v>0</v>
      </c>
      <c r="AP33" s="240">
        <f t="shared" si="9"/>
        <v>0</v>
      </c>
      <c r="AQ33" s="242">
        <f t="shared" si="19"/>
        <v>0</v>
      </c>
      <c r="AR33" s="245"/>
      <c r="AS33" s="245"/>
      <c r="AT33" s="245"/>
      <c r="AU33" s="420"/>
      <c r="AZ33" s="189"/>
      <c r="BA33" s="189"/>
      <c r="BB33" s="189"/>
      <c r="BC33" s="189"/>
      <c r="BD33" s="189"/>
      <c r="BE33" s="189"/>
      <c r="BG33" s="145">
        <f>IF($K33&gt;=0,+SUM(L$9:$L33)-$B33+Jul!$AZ$41+SUM(AQ$9:$AQ33)," ")</f>
        <v>-6.6666666666606034E-3</v>
      </c>
      <c r="BH33" s="144">
        <f t="shared" si="20"/>
        <v>-1</v>
      </c>
      <c r="BI33" s="146">
        <f>FLOOR(BG33,BH33)</f>
        <v>0</v>
      </c>
      <c r="BJ33" s="146">
        <f>+BG33-BI33</f>
        <v>-6.6666666666606034E-3</v>
      </c>
      <c r="BK33" s="146">
        <f t="shared" si="23"/>
        <v>-3.9999999999963624E-3</v>
      </c>
      <c r="BL33" s="164">
        <f>IF(BN33=2,+BK33+BI33,"")</f>
        <v>-3.9999999999963624E-3</v>
      </c>
      <c r="BM33" s="157">
        <f>+P33</f>
        <v>9.24</v>
      </c>
      <c r="BN33">
        <f t="shared" si="11"/>
        <v>2</v>
      </c>
    </row>
    <row r="34" spans="1:66" ht="15.95" customHeight="1" x14ac:dyDescent="0.25">
      <c r="A34" s="83"/>
      <c r="B34" s="84">
        <f>IF($I34&lt;&gt;"",IF(WEEKDAY($I34,2)&lt;6,IF(VLOOKUP(WEEKDAY($I34,2),InputUge,3)&gt;0,IF($A34="",VLOOKUP(WEEKDAY($I34,2),InputUge,3)+MAX(B$8:B33),IF($A34&lt;VLOOKUP(WEEKDAY($I34,2),InputUge,3),$A34+MAX(B$8:B33),VLOOKUP(WEEKDAY($I34,2),InputUge,3)+MAX(B$8:B33))),""),""),"")</f>
        <v>148.02666666666667</v>
      </c>
      <c r="C34" s="144">
        <f t="shared" si="12"/>
        <v>1</v>
      </c>
      <c r="D34" s="146">
        <f t="shared" si="13"/>
        <v>148</v>
      </c>
      <c r="E34" s="146">
        <f t="shared" si="14"/>
        <v>2.6666666666670835E-2</v>
      </c>
      <c r="F34" s="146">
        <f t="shared" si="15"/>
        <v>1.6000000000002502E-2</v>
      </c>
      <c r="G34" s="261">
        <f t="shared" si="4"/>
        <v>148.01599999999999</v>
      </c>
      <c r="H34" s="4">
        <v>26</v>
      </c>
      <c r="I34" s="16">
        <f t="shared" si="16"/>
        <v>41481</v>
      </c>
      <c r="J34" s="6">
        <v>0.34791666666666665</v>
      </c>
      <c r="K34" s="6">
        <v>0.61458333333333337</v>
      </c>
      <c r="L34" s="5">
        <f>IF(K34&gt;0,ROUND(((K34-J34)*24)-SUM(BR34:BS34)+BT34,2)+IF(Fredagsfrokost="n",IF(WEEKDAY($I34,2)=5,IF(K34&gt;=0.5,IF(K34&lt;=13/24,0,0),0),0),0),IF(AW34&gt;0,AW34,""))</f>
        <v>6.4</v>
      </c>
      <c r="M34" s="141">
        <f t="shared" si="29"/>
        <v>6</v>
      </c>
      <c r="N34" s="141">
        <f t="shared" si="30"/>
        <v>0.40000000000000036</v>
      </c>
      <c r="O34" s="141">
        <f t="shared" si="31"/>
        <v>0.24000000000000021</v>
      </c>
      <c r="P34" s="162">
        <f t="shared" si="32"/>
        <v>6.24</v>
      </c>
      <c r="Q34" s="591"/>
      <c r="R34" s="592"/>
      <c r="S34" s="592"/>
      <c r="T34" s="593"/>
      <c r="U34" s="417"/>
      <c r="V34" s="240">
        <f t="shared" si="5"/>
        <v>0</v>
      </c>
      <c r="W34" s="240">
        <f t="shared" si="17"/>
        <v>0</v>
      </c>
      <c r="X34" s="240">
        <f t="shared" si="6"/>
        <v>0</v>
      </c>
      <c r="Y34" s="242">
        <f t="shared" si="18"/>
        <v>0</v>
      </c>
      <c r="Z34" s="417"/>
      <c r="AA34" s="417"/>
      <c r="AB34" s="417"/>
      <c r="AC34" s="417"/>
      <c r="AD34" s="417"/>
      <c r="AE34" s="240">
        <f t="shared" si="0"/>
        <v>0</v>
      </c>
      <c r="AF34" s="240">
        <f t="shared" si="1"/>
        <v>0</v>
      </c>
      <c r="AG34" s="240">
        <f t="shared" si="2"/>
        <v>0</v>
      </c>
      <c r="AH34" s="242">
        <f t="shared" si="3"/>
        <v>0</v>
      </c>
      <c r="AI34" s="417"/>
      <c r="AJ34" s="417"/>
      <c r="AK34" s="417"/>
      <c r="AL34" s="417"/>
      <c r="AM34" s="472"/>
      <c r="AN34" s="240">
        <f t="shared" si="7"/>
        <v>0</v>
      </c>
      <c r="AO34" s="240">
        <f t="shared" si="8"/>
        <v>0</v>
      </c>
      <c r="AP34" s="240">
        <f t="shared" si="9"/>
        <v>0</v>
      </c>
      <c r="AQ34" s="242">
        <f t="shared" si="19"/>
        <v>0</v>
      </c>
      <c r="AR34" s="245"/>
      <c r="AS34" s="245"/>
      <c r="AT34" s="245"/>
      <c r="AU34" s="420"/>
      <c r="AZ34" s="189"/>
      <c r="BA34" s="189"/>
      <c r="BB34" s="189"/>
      <c r="BC34" s="189"/>
      <c r="BD34" s="189"/>
      <c r="BE34" s="189"/>
      <c r="BG34" s="145">
        <f>IF($K34&gt;=0,+SUM(L$9:$L34)-$B34+Jul!$AZ$41+SUM(AQ$9:$AQ34)," ")</f>
        <v>-6.6666666666606034E-3</v>
      </c>
      <c r="BH34" s="144">
        <f t="shared" si="20"/>
        <v>-1</v>
      </c>
      <c r="BI34" s="146">
        <f t="shared" si="21"/>
        <v>0</v>
      </c>
      <c r="BJ34" s="146">
        <f t="shared" si="22"/>
        <v>-6.6666666666606034E-3</v>
      </c>
      <c r="BK34" s="146">
        <f t="shared" si="23"/>
        <v>-3.9999999999963624E-3</v>
      </c>
      <c r="BL34" s="164">
        <f t="shared" si="10"/>
        <v>-3.9999999999963624E-3</v>
      </c>
      <c r="BM34" s="157">
        <f t="shared" si="24"/>
        <v>6.24</v>
      </c>
      <c r="BN34">
        <f t="shared" si="11"/>
        <v>2</v>
      </c>
    </row>
    <row r="35" spans="1:66" ht="15.95" customHeight="1" x14ac:dyDescent="0.25">
      <c r="A35" s="83"/>
      <c r="B35" s="84" t="str">
        <f>IF($I35&lt;&gt;"",IF(WEEKDAY($I35,2)&lt;6,IF(VLOOKUP(WEEKDAY($I35,2),InputUge,3)&gt;0,IF($A35="",VLOOKUP(WEEKDAY($I35,2),InputUge,3)+MAX(B$8:B34),IF($A35&lt;VLOOKUP(WEEKDAY($I35,2),InputUge,3),$A35+MAX(B$8:B34),VLOOKUP(WEEKDAY($I35,2),InputUge,3)+MAX(B$8:B34))),""),""),"")</f>
        <v/>
      </c>
      <c r="C35" s="144">
        <f t="shared" si="12"/>
        <v>1</v>
      </c>
      <c r="D35" s="146" t="e">
        <f t="shared" si="13"/>
        <v>#VALUE!</v>
      </c>
      <c r="E35" s="146" t="e">
        <f t="shared" si="14"/>
        <v>#VALUE!</v>
      </c>
      <c r="F35" s="146" t="e">
        <f t="shared" si="15"/>
        <v>#VALUE!</v>
      </c>
      <c r="G35" s="261"/>
      <c r="H35" s="4">
        <v>27</v>
      </c>
      <c r="I35" s="16">
        <f t="shared" si="16"/>
        <v>41482</v>
      </c>
      <c r="J35" s="6"/>
      <c r="K35" s="6"/>
      <c r="L35" s="5"/>
      <c r="M35" s="141"/>
      <c r="N35" s="141"/>
      <c r="O35" s="141"/>
      <c r="P35" s="162"/>
      <c r="Q35" s="591"/>
      <c r="R35" s="592"/>
      <c r="S35" s="592"/>
      <c r="T35" s="593"/>
      <c r="U35" s="417"/>
      <c r="V35" s="240">
        <f t="shared" si="5"/>
        <v>0</v>
      </c>
      <c r="W35" s="240">
        <f t="shared" si="17"/>
        <v>0</v>
      </c>
      <c r="X35" s="240">
        <f t="shared" si="6"/>
        <v>0</v>
      </c>
      <c r="Y35" s="242">
        <f t="shared" si="18"/>
        <v>0</v>
      </c>
      <c r="Z35" s="417"/>
      <c r="AA35" s="417"/>
      <c r="AB35" s="417"/>
      <c r="AC35" s="417"/>
      <c r="AD35" s="417"/>
      <c r="AE35" s="240">
        <f t="shared" si="0"/>
        <v>0</v>
      </c>
      <c r="AF35" s="240">
        <f>+AD35-AE35</f>
        <v>0</v>
      </c>
      <c r="AG35" s="240">
        <f t="shared" si="2"/>
        <v>0</v>
      </c>
      <c r="AH35" s="242">
        <f>+AG35+AE35</f>
        <v>0</v>
      </c>
      <c r="AI35" s="417"/>
      <c r="AJ35" s="417"/>
      <c r="AK35" s="417"/>
      <c r="AL35" s="417"/>
      <c r="AM35" s="472"/>
      <c r="AN35" s="240">
        <f t="shared" si="7"/>
        <v>0</v>
      </c>
      <c r="AO35" s="240">
        <f t="shared" si="8"/>
        <v>0</v>
      </c>
      <c r="AP35" s="240">
        <f t="shared" si="9"/>
        <v>0</v>
      </c>
      <c r="AQ35" s="242">
        <f t="shared" si="19"/>
        <v>0</v>
      </c>
      <c r="AR35" s="245"/>
      <c r="AS35" s="245"/>
      <c r="AT35" s="245"/>
      <c r="AU35" s="420"/>
      <c r="AZ35" s="189"/>
      <c r="BA35" s="189"/>
      <c r="BB35" s="189"/>
      <c r="BC35" s="189"/>
      <c r="BD35" s="189"/>
      <c r="BE35" s="189"/>
      <c r="BG35" s="145" t="e">
        <f>IF($K35&gt;=0,+SUM(L$9:$L35)-$B35+Jul!$AZ$41+SUM(AQ$9:$AQ35)," ")</f>
        <v>#VALUE!</v>
      </c>
      <c r="BH35" s="144" t="e">
        <f t="shared" si="20"/>
        <v>#VALUE!</v>
      </c>
      <c r="BI35" s="146" t="e">
        <f t="shared" si="21"/>
        <v>#VALUE!</v>
      </c>
      <c r="BJ35" s="146" t="e">
        <f t="shared" si="22"/>
        <v>#VALUE!</v>
      </c>
      <c r="BK35" s="146" t="e">
        <f t="shared" si="23"/>
        <v>#VALUE!</v>
      </c>
      <c r="BL35" s="164"/>
      <c r="BM35" s="157">
        <f t="shared" si="24"/>
        <v>0</v>
      </c>
      <c r="BN35">
        <f t="shared" si="11"/>
        <v>2</v>
      </c>
    </row>
    <row r="36" spans="1:66" ht="15.95" customHeight="1" x14ac:dyDescent="0.25">
      <c r="A36" s="83"/>
      <c r="B36" s="84" t="str">
        <f>IF($I36&lt;&gt;"",IF(WEEKDAY($I36,2)&lt;6,IF(VLOOKUP(WEEKDAY($I36,2),InputUge,3)&gt;0,IF($A36="",VLOOKUP(WEEKDAY($I36,2),InputUge,3)+MAX(B$8:B35),IF($A36&lt;VLOOKUP(WEEKDAY($I36,2),InputUge,3),$A36+MAX(B$8:B35),VLOOKUP(WEEKDAY($I36,2),InputUge,3)+MAX(B$8:B35))),""),""),"")</f>
        <v/>
      </c>
      <c r="C36" s="144">
        <f t="shared" si="12"/>
        <v>1</v>
      </c>
      <c r="D36" s="146" t="e">
        <f t="shared" si="13"/>
        <v>#VALUE!</v>
      </c>
      <c r="E36" s="146" t="e">
        <f t="shared" si="14"/>
        <v>#VALUE!</v>
      </c>
      <c r="F36" s="146" t="e">
        <f t="shared" si="15"/>
        <v>#VALUE!</v>
      </c>
      <c r="G36" s="261"/>
      <c r="H36" s="4">
        <v>28</v>
      </c>
      <c r="I36" s="16">
        <f t="shared" si="16"/>
        <v>41483</v>
      </c>
      <c r="J36" s="6"/>
      <c r="K36" s="6"/>
      <c r="L36" s="5"/>
      <c r="M36" s="141">
        <f>FLOOR(L36,1)</f>
        <v>0</v>
      </c>
      <c r="N36" s="141">
        <f>+L36-M36</f>
        <v>0</v>
      </c>
      <c r="O36" s="141">
        <f>+N36/100*60</f>
        <v>0</v>
      </c>
      <c r="P36" s="141" t="str">
        <f>IF(J36="","",O36+M36)</f>
        <v/>
      </c>
      <c r="Q36" s="591"/>
      <c r="R36" s="592"/>
      <c r="S36" s="592"/>
      <c r="T36" s="593"/>
      <c r="U36" s="417"/>
      <c r="V36" s="240">
        <f t="shared" si="5"/>
        <v>0</v>
      </c>
      <c r="W36" s="240">
        <f t="shared" si="17"/>
        <v>0</v>
      </c>
      <c r="X36" s="240">
        <f t="shared" si="6"/>
        <v>0</v>
      </c>
      <c r="Y36" s="242">
        <f t="shared" si="18"/>
        <v>0</v>
      </c>
      <c r="Z36" s="417"/>
      <c r="AA36" s="417"/>
      <c r="AB36" s="417"/>
      <c r="AC36" s="417"/>
      <c r="AD36" s="417"/>
      <c r="AE36" s="240">
        <f t="shared" si="0"/>
        <v>0</v>
      </c>
      <c r="AF36" s="240">
        <f>+AD36-AE36</f>
        <v>0</v>
      </c>
      <c r="AG36" s="240">
        <f t="shared" si="2"/>
        <v>0</v>
      </c>
      <c r="AH36" s="242">
        <f>+AG36+AE36</f>
        <v>0</v>
      </c>
      <c r="AI36" s="417"/>
      <c r="AJ36" s="417"/>
      <c r="AK36" s="417"/>
      <c r="AL36" s="417"/>
      <c r="AM36" s="472"/>
      <c r="AN36" s="240">
        <f t="shared" si="7"/>
        <v>0</v>
      </c>
      <c r="AO36" s="240">
        <f t="shared" si="8"/>
        <v>0</v>
      </c>
      <c r="AP36" s="240">
        <f t="shared" si="9"/>
        <v>0</v>
      </c>
      <c r="AQ36" s="242">
        <f t="shared" si="19"/>
        <v>0</v>
      </c>
      <c r="AR36" s="245"/>
      <c r="AS36" s="245"/>
      <c r="AT36" s="245"/>
      <c r="AU36" s="420"/>
      <c r="AZ36" s="189"/>
      <c r="BA36" s="189"/>
      <c r="BB36" s="189"/>
      <c r="BC36" s="189"/>
      <c r="BD36" s="189"/>
      <c r="BE36" s="189"/>
      <c r="BG36" s="145" t="e">
        <f>IF($K36&gt;=0,+SUM(L$9:$L36)-$B36+Jul!$AZ$41+SUM(AQ$9:$AQ36)," ")</f>
        <v>#VALUE!</v>
      </c>
      <c r="BH36" s="144" t="e">
        <f t="shared" si="20"/>
        <v>#VALUE!</v>
      </c>
      <c r="BI36" s="146" t="e">
        <f t="shared" si="21"/>
        <v>#VALUE!</v>
      </c>
      <c r="BJ36" s="146" t="e">
        <f t="shared" si="22"/>
        <v>#VALUE!</v>
      </c>
      <c r="BK36" s="146" t="e">
        <f t="shared" si="23"/>
        <v>#VALUE!</v>
      </c>
      <c r="BL36" s="164" t="str">
        <f t="shared" si="10"/>
        <v/>
      </c>
      <c r="BM36" s="157" t="str">
        <f t="shared" si="24"/>
        <v/>
      </c>
      <c r="BN36">
        <f t="shared" si="11"/>
        <v>1</v>
      </c>
    </row>
    <row r="37" spans="1:66" ht="15.95" customHeight="1" x14ac:dyDescent="0.25">
      <c r="A37" s="83"/>
      <c r="B37" s="84">
        <f>IF($I37&lt;&gt;"",IF(WEEKDAY($I37,2)&lt;6,IF(VLOOKUP(WEEKDAY($I37,2),InputUge,3)&gt;0,IF($A37="",VLOOKUP(WEEKDAY($I37,2),InputUge,3)+MAX(B$8:B36),IF($A37&lt;VLOOKUP(WEEKDAY($I37,2),InputUge,3),$A37+MAX(B$8:B36),VLOOKUP(WEEKDAY($I37,2),InputUge,3)+MAX(B$8:B36))),""),""),"")</f>
        <v>155.09</v>
      </c>
      <c r="C37" s="144">
        <f t="shared" si="12"/>
        <v>1</v>
      </c>
      <c r="D37" s="146">
        <f t="shared" si="13"/>
        <v>155</v>
      </c>
      <c r="E37" s="146">
        <f t="shared" si="14"/>
        <v>9.0000000000003411E-2</v>
      </c>
      <c r="F37" s="146">
        <f t="shared" si="15"/>
        <v>5.4000000000002046E-2</v>
      </c>
      <c r="G37" s="261">
        <f t="shared" si="4"/>
        <v>155.054</v>
      </c>
      <c r="H37" s="4">
        <v>29</v>
      </c>
      <c r="I37" s="16">
        <f t="shared" si="16"/>
        <v>41484</v>
      </c>
      <c r="J37" s="6">
        <v>0.34826388888888887</v>
      </c>
      <c r="K37" s="6">
        <v>0.64265046296296291</v>
      </c>
      <c r="L37" s="5">
        <f>IF(K37&gt;0,ROUND(((K37-J37)*24)-SUM(BR37:BS37)+BT37,2)+IF(Fredagsfrokost="n",IF(WEEKDAY($I37,2)=5,IF(K37&gt;=0.5,IF(K37&lt;=13/24,0,0),0),0),0),IF(AW37&gt;0,AW37,""))</f>
        <v>7.07</v>
      </c>
      <c r="M37" s="141">
        <f>FLOOR(L37,1)</f>
        <v>7</v>
      </c>
      <c r="N37" s="141">
        <f>+L37-M37</f>
        <v>7.0000000000000284E-2</v>
      </c>
      <c r="O37" s="141">
        <f>+N37/100*60</f>
        <v>4.2000000000000169E-2</v>
      </c>
      <c r="P37" s="162">
        <f>IF(J37="","",O37+M37)</f>
        <v>7.0419999999999998</v>
      </c>
      <c r="Q37" s="591"/>
      <c r="R37" s="592"/>
      <c r="S37" s="592"/>
      <c r="T37" s="593"/>
      <c r="U37" s="417"/>
      <c r="V37" s="240">
        <f t="shared" si="5"/>
        <v>0</v>
      </c>
      <c r="W37" s="240">
        <f t="shared" si="17"/>
        <v>0</v>
      </c>
      <c r="X37" s="240">
        <f t="shared" si="6"/>
        <v>0</v>
      </c>
      <c r="Y37" s="242">
        <f t="shared" si="18"/>
        <v>0</v>
      </c>
      <c r="Z37" s="417"/>
      <c r="AA37" s="417"/>
      <c r="AB37" s="417"/>
      <c r="AC37" s="417"/>
      <c r="AD37" s="417"/>
      <c r="AE37" s="240">
        <f t="shared" si="0"/>
        <v>0</v>
      </c>
      <c r="AF37" s="240">
        <f>+AD37-AE37</f>
        <v>0</v>
      </c>
      <c r="AG37" s="240">
        <f t="shared" si="2"/>
        <v>0</v>
      </c>
      <c r="AH37" s="242">
        <f>+AG37+AE37</f>
        <v>0</v>
      </c>
      <c r="AI37" s="417"/>
      <c r="AJ37" s="417"/>
      <c r="AK37" s="417"/>
      <c r="AL37" s="417"/>
      <c r="AM37" s="472"/>
      <c r="AN37" s="240">
        <f t="shared" si="7"/>
        <v>0</v>
      </c>
      <c r="AO37" s="240">
        <f t="shared" si="8"/>
        <v>0</v>
      </c>
      <c r="AP37" s="240">
        <f t="shared" si="9"/>
        <v>0</v>
      </c>
      <c r="AQ37" s="242">
        <f t="shared" si="19"/>
        <v>0</v>
      </c>
      <c r="AR37" s="245"/>
      <c r="AS37" s="245"/>
      <c r="AT37" s="245"/>
      <c r="AU37" s="420"/>
      <c r="AZ37" s="189"/>
      <c r="BA37" s="189"/>
      <c r="BB37" s="189"/>
      <c r="BC37" s="189"/>
      <c r="BD37" s="189"/>
      <c r="BE37" s="189"/>
      <c r="BG37" s="145">
        <f>IF($K37&gt;=0,+SUM(L$9:$L37)-$B37+Jul!$AZ$41+SUM(AQ$9:$AQ37)," ")</f>
        <v>0</v>
      </c>
      <c r="BH37" s="144">
        <f t="shared" si="20"/>
        <v>1</v>
      </c>
      <c r="BI37" s="146">
        <f t="shared" si="21"/>
        <v>0</v>
      </c>
      <c r="BJ37" s="146">
        <f t="shared" si="22"/>
        <v>0</v>
      </c>
      <c r="BK37" s="146">
        <f t="shared" si="23"/>
        <v>0</v>
      </c>
      <c r="BL37" s="164">
        <f t="shared" si="10"/>
        <v>0</v>
      </c>
      <c r="BM37" s="157">
        <f t="shared" si="24"/>
        <v>7.0419999999999998</v>
      </c>
      <c r="BN37">
        <f t="shared" si="11"/>
        <v>2</v>
      </c>
    </row>
    <row r="38" spans="1:66" ht="15.95" customHeight="1" x14ac:dyDescent="0.25">
      <c r="A38" s="83"/>
      <c r="B38" s="84">
        <f>IF($I38&lt;&gt;"",IF(WEEKDAY($I38,2)&lt;6,IF(VLOOKUP(WEEKDAY($I38,2),InputUge,3)&gt;0,IF($A38="",VLOOKUP(WEEKDAY($I38,2),InputUge,3)+MAX(B$8:B37),IF($A38&lt;VLOOKUP(WEEKDAY($I38,2),InputUge,3),$A38+MAX(B$8:B37),VLOOKUP(WEEKDAY($I38,2),InputUge,3)+MAX(B$8:B37))),""),""),"")</f>
        <v>162.15666666666667</v>
      </c>
      <c r="C38" s="144">
        <f t="shared" si="12"/>
        <v>1</v>
      </c>
      <c r="D38" s="146">
        <f t="shared" si="13"/>
        <v>162</v>
      </c>
      <c r="E38" s="146">
        <f t="shared" si="14"/>
        <v>0.15666666666666629</v>
      </c>
      <c r="F38" s="146">
        <f t="shared" si="15"/>
        <v>9.3999999999999764E-2</v>
      </c>
      <c r="G38" s="261">
        <f t="shared" si="4"/>
        <v>162.09399999999999</v>
      </c>
      <c r="H38" s="4">
        <v>30</v>
      </c>
      <c r="I38" s="16">
        <f t="shared" si="16"/>
        <v>41485</v>
      </c>
      <c r="J38" s="6">
        <v>0.34826388888888887</v>
      </c>
      <c r="K38" s="6">
        <v>0.64236111111111105</v>
      </c>
      <c r="L38" s="5">
        <f>IF(K38&gt;0,ROUND(((K38-J38)*24)-SUM(BR38:BS38)+BT38,2)+IF(Fredagsfrokost="n",IF(WEEKDAY($I38,2)=5,IF(K38&gt;=0.5,IF(K38&lt;=13/24,0,0),0),0),0),IF(AW38&gt;0,AW38,""))</f>
        <v>7.06</v>
      </c>
      <c r="M38" s="141">
        <f>FLOOR(L38,1)</f>
        <v>7</v>
      </c>
      <c r="N38" s="141">
        <f>+L38-M38</f>
        <v>5.9999999999999609E-2</v>
      </c>
      <c r="O38" s="141">
        <f>+N38/100*60</f>
        <v>3.5999999999999761E-2</v>
      </c>
      <c r="P38" s="162">
        <f>IF(J38="","",O38+M38)</f>
        <v>7.0359999999999996</v>
      </c>
      <c r="Q38" s="591"/>
      <c r="R38" s="592"/>
      <c r="S38" s="592"/>
      <c r="T38" s="593"/>
      <c r="U38" s="417"/>
      <c r="V38" s="240">
        <f t="shared" si="5"/>
        <v>0</v>
      </c>
      <c r="W38" s="240">
        <f t="shared" si="17"/>
        <v>0</v>
      </c>
      <c r="X38" s="240">
        <f t="shared" si="6"/>
        <v>0</v>
      </c>
      <c r="Y38" s="242">
        <f t="shared" si="18"/>
        <v>0</v>
      </c>
      <c r="Z38" s="417"/>
      <c r="AA38" s="417"/>
      <c r="AB38" s="417"/>
      <c r="AC38" s="417"/>
      <c r="AD38" s="417"/>
      <c r="AE38" s="240">
        <f t="shared" si="0"/>
        <v>0</v>
      </c>
      <c r="AF38" s="240">
        <f>+AD38-AE38</f>
        <v>0</v>
      </c>
      <c r="AG38" s="240">
        <f t="shared" si="2"/>
        <v>0</v>
      </c>
      <c r="AH38" s="242">
        <f>+AG38+AE38</f>
        <v>0</v>
      </c>
      <c r="AI38" s="417"/>
      <c r="AJ38" s="417"/>
      <c r="AK38" s="417"/>
      <c r="AL38" s="417"/>
      <c r="AM38" s="472"/>
      <c r="AN38" s="240">
        <f t="shared" si="7"/>
        <v>0</v>
      </c>
      <c r="AO38" s="240">
        <f t="shared" si="8"/>
        <v>0</v>
      </c>
      <c r="AP38" s="240">
        <f t="shared" si="9"/>
        <v>0</v>
      </c>
      <c r="AQ38" s="242">
        <f t="shared" si="19"/>
        <v>0</v>
      </c>
      <c r="AR38" s="245"/>
      <c r="AS38" s="245"/>
      <c r="AT38" s="245"/>
      <c r="AU38" s="420"/>
      <c r="AZ38" s="189"/>
      <c r="BA38" s="189"/>
      <c r="BB38" s="189"/>
      <c r="BC38" s="189"/>
      <c r="BD38" s="189"/>
      <c r="BE38" s="189"/>
      <c r="BG38" s="145">
        <f>IF($K38&gt;=0,+SUM(L$9:$L38)-$B38+Jul!$AZ$41+SUM(AQ$9:$AQ38)," ")</f>
        <v>-6.6666666666606034E-3</v>
      </c>
      <c r="BH38" s="144">
        <f t="shared" si="20"/>
        <v>-1</v>
      </c>
      <c r="BI38" s="146">
        <f t="shared" si="21"/>
        <v>0</v>
      </c>
      <c r="BJ38" s="146">
        <f t="shared" si="22"/>
        <v>-6.6666666666606034E-3</v>
      </c>
      <c r="BK38" s="146">
        <f t="shared" si="23"/>
        <v>-3.9999999999963624E-3</v>
      </c>
      <c r="BL38" s="164">
        <f t="shared" si="10"/>
        <v>-3.9999999999963624E-3</v>
      </c>
      <c r="BM38" s="157">
        <f t="shared" si="24"/>
        <v>7.0359999999999996</v>
      </c>
      <c r="BN38">
        <f t="shared" si="11"/>
        <v>2</v>
      </c>
    </row>
    <row r="39" spans="1:66" ht="15.95" customHeight="1" thickBot="1" x14ac:dyDescent="0.3">
      <c r="A39" s="85"/>
      <c r="B39" s="84">
        <f>IF($I39&lt;&gt;"",IF(WEEKDAY($I39,2)&lt;6,IF(VLOOKUP(WEEKDAY($I39,2),InputUge,3)&gt;0,IF($A39="",VLOOKUP(WEEKDAY($I39,2),InputUge,3)+MAX(B$8:B38),IF($A39&lt;VLOOKUP(WEEKDAY($I39,2),InputUge,3),$A39+MAX(B$8:B38),VLOOKUP(WEEKDAY($I39,2),InputUge,3)+MAX(B$8:B38))),""),""),"")</f>
        <v>169.22333333333333</v>
      </c>
      <c r="C39" s="144">
        <f t="shared" si="12"/>
        <v>1</v>
      </c>
      <c r="D39" s="146">
        <f t="shared" si="13"/>
        <v>169</v>
      </c>
      <c r="E39" s="146">
        <f t="shared" si="14"/>
        <v>0.22333333333332916</v>
      </c>
      <c r="F39" s="146">
        <f t="shared" si="15"/>
        <v>0.13399999999999751</v>
      </c>
      <c r="G39" s="261">
        <f t="shared" si="4"/>
        <v>169.13399999999999</v>
      </c>
      <c r="H39" s="88">
        <v>31</v>
      </c>
      <c r="I39" s="89">
        <f t="shared" si="16"/>
        <v>41486</v>
      </c>
      <c r="J39" s="6">
        <v>0.34791666666666665</v>
      </c>
      <c r="K39" s="6">
        <v>0.64236111111111105</v>
      </c>
      <c r="L39" s="5">
        <f>IF(K39&gt;0,ROUND(((K39-J39)*24)-SUM(BR39:BS39)+BT39,2)+IF(Fredagsfrokost="n",IF(WEEKDAY($I39,2)=5,IF(K39&gt;=0.5,IF(K39&lt;=13/24,0,0),0),0),0),IF(AW39&gt;0,AW39,""))</f>
        <v>7.07</v>
      </c>
      <c r="M39" s="141">
        <f>FLOOR(L39,1)</f>
        <v>7</v>
      </c>
      <c r="N39" s="141">
        <f>+L39-M39</f>
        <v>7.0000000000000284E-2</v>
      </c>
      <c r="O39" s="141">
        <f>+N39/100*60</f>
        <v>4.2000000000000169E-2</v>
      </c>
      <c r="P39" s="162">
        <f>IF(J39="","",O39+M39)</f>
        <v>7.0419999999999998</v>
      </c>
      <c r="Q39" s="591"/>
      <c r="R39" s="592"/>
      <c r="S39" s="592"/>
      <c r="T39" s="593"/>
      <c r="U39" s="417"/>
      <c r="V39" s="240">
        <f t="shared" si="5"/>
        <v>0</v>
      </c>
      <c r="W39" s="240">
        <f t="shared" si="17"/>
        <v>0</v>
      </c>
      <c r="X39" s="240">
        <f t="shared" si="6"/>
        <v>0</v>
      </c>
      <c r="Y39" s="242">
        <f t="shared" si="18"/>
        <v>0</v>
      </c>
      <c r="Z39" s="417"/>
      <c r="AA39" s="417"/>
      <c r="AB39" s="417"/>
      <c r="AC39" s="417"/>
      <c r="AD39" s="417"/>
      <c r="AE39" s="240">
        <f t="shared" si="0"/>
        <v>0</v>
      </c>
      <c r="AF39" s="240">
        <f>+AD39-AE39</f>
        <v>0</v>
      </c>
      <c r="AG39" s="240">
        <f t="shared" si="2"/>
        <v>0</v>
      </c>
      <c r="AH39" s="242">
        <f>+AG39+AE39</f>
        <v>0</v>
      </c>
      <c r="AI39" s="417"/>
      <c r="AJ39" s="417"/>
      <c r="AK39" s="417"/>
      <c r="AL39" s="417"/>
      <c r="AM39" s="472"/>
      <c r="AN39" s="240">
        <f>FLOOR(AM39,1)</f>
        <v>0</v>
      </c>
      <c r="AO39" s="240">
        <f t="shared" si="8"/>
        <v>0</v>
      </c>
      <c r="AP39" s="240">
        <f t="shared" si="9"/>
        <v>0</v>
      </c>
      <c r="AQ39" s="242">
        <f t="shared" si="19"/>
        <v>0</v>
      </c>
      <c r="AR39" s="245"/>
      <c r="AS39" s="245"/>
      <c r="AT39" s="245"/>
      <c r="AU39" s="420"/>
      <c r="AZ39" s="189"/>
      <c r="BA39" s="144">
        <f t="shared" ref="BA39:BA44" si="33">IF(AZ39&lt;0,-1,1)</f>
        <v>1</v>
      </c>
      <c r="BB39" s="146">
        <f t="shared" ref="BB39:BB44" si="34">FLOOR(AZ39,BA39)</f>
        <v>0</v>
      </c>
      <c r="BC39" s="189"/>
      <c r="BD39" s="189"/>
      <c r="BE39" s="189"/>
      <c r="BG39" s="145">
        <f>IF($K39&gt;=0,+SUM(L$9:$L39)-$B39+Jul!$AZ$41+SUM(AQ$9:$AQ39)," ")</f>
        <v>-3.3333333333303017E-3</v>
      </c>
      <c r="BH39" s="144">
        <f t="shared" si="20"/>
        <v>-1</v>
      </c>
      <c r="BI39" s="146">
        <f t="shared" si="21"/>
        <v>0</v>
      </c>
      <c r="BJ39" s="146">
        <f t="shared" si="22"/>
        <v>-3.3333333333303017E-3</v>
      </c>
      <c r="BK39" s="146">
        <f t="shared" si="23"/>
        <v>-1.9999999999981812E-3</v>
      </c>
      <c r="BL39" s="164">
        <f t="shared" si="10"/>
        <v>-1.9999999999981812E-3</v>
      </c>
      <c r="BM39" s="157">
        <f t="shared" si="24"/>
        <v>7.0419999999999998</v>
      </c>
      <c r="BN39">
        <f t="shared" si="11"/>
        <v>2</v>
      </c>
    </row>
    <row r="40" spans="1:66" ht="15.95" customHeight="1" thickBot="1" x14ac:dyDescent="0.3">
      <c r="B40" s="80">
        <f>MAX($B$8:$B39)</f>
        <v>169.22333333333333</v>
      </c>
      <c r="C40" s="80"/>
      <c r="D40" s="80"/>
      <c r="E40" s="80"/>
      <c r="F40" s="80"/>
      <c r="G40" s="279">
        <f>MAX($G$8:$G39)</f>
        <v>169.13399999999999</v>
      </c>
      <c r="H40" s="10" t="s">
        <v>1</v>
      </c>
      <c r="I40" s="14"/>
      <c r="J40" s="612">
        <f>SUM(L40:L40)-SUM(Q41:R41)</f>
        <v>169.22</v>
      </c>
      <c r="K40" s="613"/>
      <c r="L40" s="76">
        <f>SUM(L9:L39)</f>
        <v>169.22</v>
      </c>
      <c r="M40" s="141">
        <f>FLOOR(L40,1)</f>
        <v>169</v>
      </c>
      <c r="N40" s="141">
        <f>+L40-M40</f>
        <v>0.21999999999999886</v>
      </c>
      <c r="O40" s="141">
        <f>+N40/100*60</f>
        <v>0.13199999999999931</v>
      </c>
      <c r="P40" s="276">
        <f>+O40+M40</f>
        <v>169.13200000000001</v>
      </c>
      <c r="Q40" s="629"/>
      <c r="R40" s="630"/>
      <c r="S40" s="631"/>
      <c r="T40" s="632"/>
      <c r="U40" s="433">
        <f>+AC40</f>
        <v>0</v>
      </c>
      <c r="V40" s="433"/>
      <c r="W40" s="433"/>
      <c r="X40" s="433"/>
      <c r="Y40" s="434">
        <f>SUM(Y9:Y39)</f>
        <v>0</v>
      </c>
      <c r="Z40" s="141">
        <f>FLOOR(Y40,1)</f>
        <v>0</v>
      </c>
      <c r="AA40" s="141">
        <f>+Y40-Z40</f>
        <v>0</v>
      </c>
      <c r="AB40" s="141">
        <f>+AA40/100*60</f>
        <v>0</v>
      </c>
      <c r="AC40" s="141">
        <f>+AB40+Z40</f>
        <v>0</v>
      </c>
      <c r="AD40" s="433">
        <f>+AL40</f>
        <v>0</v>
      </c>
      <c r="AE40" s="433"/>
      <c r="AF40" s="433"/>
      <c r="AG40" s="433"/>
      <c r="AH40" s="434">
        <f>SUM(AH9:AH39)</f>
        <v>0</v>
      </c>
      <c r="AI40" s="141">
        <f>FLOOR(AH40,1)</f>
        <v>0</v>
      </c>
      <c r="AJ40" s="141">
        <f>+AH40-AI40</f>
        <v>0</v>
      </c>
      <c r="AK40" s="141">
        <f>+AJ40/100*60</f>
        <v>0</v>
      </c>
      <c r="AL40" s="141">
        <f>+AK40+AI40</f>
        <v>0</v>
      </c>
      <c r="AM40" s="473">
        <f>+AU40</f>
        <v>0</v>
      </c>
      <c r="AN40" s="459"/>
      <c r="AO40" s="434"/>
      <c r="AP40" s="434"/>
      <c r="AQ40" s="434">
        <f>SUM(AQ9:AQ39)</f>
        <v>0</v>
      </c>
      <c r="AR40" s="141">
        <f>FLOOR(AQ40,1)</f>
        <v>0</v>
      </c>
      <c r="AS40" s="141">
        <f>+AQ40-AR40</f>
        <v>0</v>
      </c>
      <c r="AT40" s="141">
        <f>+AS40/100*60</f>
        <v>0</v>
      </c>
      <c r="AU40" s="141">
        <f>+AT40+AR40</f>
        <v>0</v>
      </c>
      <c r="AZ40" s="191"/>
      <c r="BA40" s="144">
        <f t="shared" si="33"/>
        <v>1</v>
      </c>
      <c r="BB40" s="146">
        <f t="shared" si="34"/>
        <v>0</v>
      </c>
      <c r="BC40" s="191"/>
      <c r="BD40" s="191"/>
      <c r="BE40" s="191"/>
      <c r="BG40" s="138"/>
      <c r="BH40" s="143"/>
      <c r="BI40" s="143"/>
      <c r="BJ40" s="143"/>
      <c r="BK40" s="143"/>
      <c r="BL40" s="168"/>
    </row>
    <row r="41" spans="1:66" ht="15.95" customHeight="1" x14ac:dyDescent="0.25">
      <c r="H41" s="623"/>
      <c r="I41" s="623"/>
      <c r="J41" s="624"/>
      <c r="K41" s="624"/>
      <c r="L41" s="624"/>
      <c r="M41" s="123"/>
      <c r="N41" s="123"/>
      <c r="O41" s="123"/>
      <c r="P41" s="265"/>
      <c r="Q41" s="99"/>
      <c r="R41" s="99"/>
      <c r="S41" s="599" t="s">
        <v>10</v>
      </c>
      <c r="T41" s="600"/>
      <c r="U41" s="600"/>
      <c r="V41" s="600"/>
      <c r="W41" s="600"/>
      <c r="X41" s="600"/>
      <c r="Y41" s="600"/>
      <c r="Z41" s="600"/>
      <c r="AA41" s="600"/>
      <c r="AB41" s="600"/>
      <c r="AC41" s="600"/>
      <c r="AD41" s="601"/>
      <c r="AE41" s="601"/>
      <c r="AF41" s="601"/>
      <c r="AG41" s="601"/>
      <c r="AH41" s="601"/>
      <c r="AI41" s="601"/>
      <c r="AJ41" s="601"/>
      <c r="AK41" s="601"/>
      <c r="AL41" s="601"/>
      <c r="AM41" s="601"/>
      <c r="AN41" s="400"/>
      <c r="AO41" s="400"/>
      <c r="AP41" s="400"/>
      <c r="AQ41" s="400"/>
      <c r="AR41" s="400"/>
      <c r="AS41" s="400"/>
      <c r="AT41" s="400"/>
      <c r="AU41" s="400"/>
      <c r="AV41" s="538">
        <f>+Jun!AV43</f>
        <v>0</v>
      </c>
      <c r="AW41" s="538"/>
      <c r="AX41" s="633"/>
      <c r="AZ41" s="190">
        <f>+Jun!AZ43</f>
        <v>0</v>
      </c>
      <c r="BA41" s="144">
        <f t="shared" si="33"/>
        <v>1</v>
      </c>
      <c r="BB41" s="146">
        <f t="shared" si="34"/>
        <v>0</v>
      </c>
      <c r="BC41" s="141">
        <f>+AZ41-BB41</f>
        <v>0</v>
      </c>
      <c r="BD41" s="141">
        <f>+BC41/100*60</f>
        <v>0</v>
      </c>
      <c r="BE41" s="162">
        <f>+BD41+BB41</f>
        <v>0</v>
      </c>
    </row>
    <row r="42" spans="1:66" ht="15.95" customHeight="1" x14ac:dyDescent="0.25">
      <c r="H42" s="94"/>
      <c r="I42" s="94"/>
      <c r="J42" s="94"/>
      <c r="K42" s="94"/>
      <c r="L42" s="100"/>
      <c r="M42" s="100"/>
      <c r="N42" s="100"/>
      <c r="O42" s="100"/>
      <c r="P42" s="100"/>
      <c r="Q42" s="100"/>
      <c r="R42" s="100"/>
      <c r="S42" s="602" t="s">
        <v>11</v>
      </c>
      <c r="T42" s="603"/>
      <c r="U42" s="603"/>
      <c r="V42" s="603"/>
      <c r="W42" s="603"/>
      <c r="X42" s="603"/>
      <c r="Y42" s="603"/>
      <c r="Z42" s="603"/>
      <c r="AA42" s="603"/>
      <c r="AB42" s="603"/>
      <c r="AC42" s="603"/>
      <c r="AD42" s="604"/>
      <c r="AE42" s="604"/>
      <c r="AF42" s="604"/>
      <c r="AG42" s="604"/>
      <c r="AH42" s="604"/>
      <c r="AI42" s="604"/>
      <c r="AJ42" s="604"/>
      <c r="AK42" s="604"/>
      <c r="AL42" s="604"/>
      <c r="AM42" s="604"/>
      <c r="AN42" s="401"/>
      <c r="AO42" s="401"/>
      <c r="AP42" s="401"/>
      <c r="AQ42" s="401"/>
      <c r="AR42" s="401"/>
      <c r="AS42" s="401"/>
      <c r="AT42" s="401"/>
      <c r="AU42" s="401"/>
      <c r="AV42" s="606">
        <f>+BE42</f>
        <v>169.13200000000001</v>
      </c>
      <c r="AW42" s="606"/>
      <c r="AX42" s="607"/>
      <c r="AY42" s="1"/>
      <c r="AZ42" s="190">
        <f>+J40+AQ40</f>
        <v>169.22</v>
      </c>
      <c r="BA42" s="144">
        <f t="shared" si="33"/>
        <v>1</v>
      </c>
      <c r="BB42" s="146">
        <f t="shared" si="34"/>
        <v>169</v>
      </c>
      <c r="BC42" s="141">
        <f>+AZ42-BB42</f>
        <v>0.21999999999999886</v>
      </c>
      <c r="BD42" s="141">
        <f>+BC42/100*60</f>
        <v>0.13199999999999931</v>
      </c>
      <c r="BE42" s="162">
        <f>+BD42+BB42</f>
        <v>169.13200000000001</v>
      </c>
    </row>
    <row r="43" spans="1:66" ht="15.95" customHeight="1" x14ac:dyDescent="0.25">
      <c r="H43" s="611"/>
      <c r="I43" s="611"/>
      <c r="J43" s="611"/>
      <c r="K43" s="611"/>
      <c r="L43" s="611"/>
      <c r="M43" s="611"/>
      <c r="N43" s="611"/>
      <c r="O43" s="611"/>
      <c r="P43" s="611"/>
      <c r="Q43" s="611"/>
      <c r="R43" s="611"/>
      <c r="S43" s="602" t="s">
        <v>12</v>
      </c>
      <c r="T43" s="603"/>
      <c r="U43" s="603"/>
      <c r="V43" s="603"/>
      <c r="W43" s="603"/>
      <c r="X43" s="603"/>
      <c r="Y43" s="603"/>
      <c r="Z43" s="603"/>
      <c r="AA43" s="603"/>
      <c r="AB43" s="603"/>
      <c r="AC43" s="603"/>
      <c r="AD43" s="604"/>
      <c r="AE43" s="604"/>
      <c r="AF43" s="604"/>
      <c r="AG43" s="604"/>
      <c r="AH43" s="604"/>
      <c r="AI43" s="604"/>
      <c r="AJ43" s="604"/>
      <c r="AK43" s="604"/>
      <c r="AL43" s="604"/>
      <c r="AM43" s="604"/>
      <c r="AN43" s="401"/>
      <c r="AO43" s="401"/>
      <c r="AP43" s="401"/>
      <c r="AQ43" s="401"/>
      <c r="AR43" s="401"/>
      <c r="AS43" s="401"/>
      <c r="AT43" s="401"/>
      <c r="AU43" s="401"/>
      <c r="AV43" s="543">
        <f>+BE43</f>
        <v>169.13399999999999</v>
      </c>
      <c r="AW43" s="543"/>
      <c r="AX43" s="544"/>
      <c r="AZ43" s="157">
        <f>+B40</f>
        <v>169.22333333333333</v>
      </c>
      <c r="BA43" s="144">
        <f t="shared" si="33"/>
        <v>1</v>
      </c>
      <c r="BB43" s="146">
        <f t="shared" si="34"/>
        <v>169</v>
      </c>
      <c r="BC43" s="141">
        <f>+AZ43-BB43</f>
        <v>0.22333333333332916</v>
      </c>
      <c r="BD43" s="141">
        <f>+BC43/100*60</f>
        <v>0.13399999999999751</v>
      </c>
      <c r="BE43" s="162">
        <f>+BD43+BB43</f>
        <v>169.13399999999999</v>
      </c>
    </row>
    <row r="44" spans="1:66" ht="16.5" customHeight="1" thickBot="1" x14ac:dyDescent="0.3">
      <c r="H44" s="96"/>
      <c r="I44" s="96"/>
      <c r="J44" s="96"/>
      <c r="K44" s="96"/>
      <c r="L44" s="97"/>
      <c r="M44" s="97"/>
      <c r="N44" s="97"/>
      <c r="O44" s="97"/>
      <c r="P44" s="97"/>
      <c r="Q44" s="96"/>
      <c r="R44" s="96"/>
      <c r="S44" s="596" t="s">
        <v>13</v>
      </c>
      <c r="T44" s="597"/>
      <c r="U44" s="597"/>
      <c r="V44" s="597"/>
      <c r="W44" s="597"/>
      <c r="X44" s="597"/>
      <c r="Y44" s="597"/>
      <c r="Z44" s="597"/>
      <c r="AA44" s="597"/>
      <c r="AB44" s="597"/>
      <c r="AC44" s="597"/>
      <c r="AD44" s="598"/>
      <c r="AE44" s="598"/>
      <c r="AF44" s="598"/>
      <c r="AG44" s="598"/>
      <c r="AH44" s="598"/>
      <c r="AI44" s="598"/>
      <c r="AJ44" s="598"/>
      <c r="AK44" s="598"/>
      <c r="AL44" s="598"/>
      <c r="AM44" s="598"/>
      <c r="AN44" s="402"/>
      <c r="AO44" s="402"/>
      <c r="AP44" s="402"/>
      <c r="AQ44" s="402"/>
      <c r="AR44" s="402"/>
      <c r="AS44" s="402"/>
      <c r="AT44" s="402"/>
      <c r="AU44" s="402"/>
      <c r="AV44" s="545">
        <f>+BE44</f>
        <v>-1.9999999999981812E-3</v>
      </c>
      <c r="AW44" s="545"/>
      <c r="AX44" s="609"/>
      <c r="AZ44" s="157">
        <f>+AZ41+AZ42-AZ43</f>
        <v>-3.3333333333303017E-3</v>
      </c>
      <c r="BA44" s="144">
        <f t="shared" si="33"/>
        <v>-1</v>
      </c>
      <c r="BB44" s="146">
        <f t="shared" si="34"/>
        <v>0</v>
      </c>
      <c r="BC44" s="141">
        <f>+AZ44-BB44</f>
        <v>-3.3333333333303017E-3</v>
      </c>
      <c r="BD44" s="141">
        <f>+BC44/100*60</f>
        <v>-1.9999999999981812E-3</v>
      </c>
      <c r="BE44" s="162">
        <f>+BD44+BB44</f>
        <v>-1.9999999999981812E-3</v>
      </c>
    </row>
    <row r="45" spans="1:66" ht="15.95" hidden="1" customHeight="1" x14ac:dyDescent="0.25">
      <c r="H45" s="96"/>
      <c r="I45" s="96"/>
      <c r="J45" s="96"/>
      <c r="K45" s="96"/>
      <c r="L45" s="96"/>
      <c r="M45" s="96"/>
      <c r="N45" s="96"/>
      <c r="O45" s="96"/>
      <c r="P45" s="95"/>
      <c r="Q45" s="96"/>
      <c r="R45" s="96"/>
      <c r="S45" s="171"/>
      <c r="T45" s="170"/>
      <c r="U45" s="170"/>
      <c r="V45" s="170"/>
      <c r="W45" s="170"/>
      <c r="X45" s="170"/>
      <c r="Y45" s="170"/>
      <c r="Z45" s="170"/>
      <c r="AA45" s="170"/>
      <c r="AB45" s="170"/>
      <c r="AC45" s="170"/>
      <c r="AD45" s="267"/>
      <c r="AE45" s="170"/>
      <c r="AF45" s="170"/>
      <c r="AG45" s="170"/>
      <c r="AH45" s="170"/>
      <c r="AI45" s="170"/>
      <c r="AJ45" s="170"/>
      <c r="AK45" s="170"/>
      <c r="AL45" s="170"/>
      <c r="AM45" s="170"/>
      <c r="AN45" s="170"/>
      <c r="AO45" s="170"/>
      <c r="AP45" s="170"/>
      <c r="AQ45" s="170"/>
      <c r="AR45" s="170"/>
      <c r="AS45" s="170"/>
      <c r="AT45" s="170"/>
      <c r="AU45" s="170"/>
      <c r="AV45" s="170"/>
      <c r="AW45" s="170"/>
      <c r="AX45" s="172"/>
    </row>
    <row r="46" spans="1:66" ht="15.95" hidden="1" customHeight="1" thickBot="1" x14ac:dyDescent="0.3">
      <c r="S46" s="589" t="s">
        <v>76</v>
      </c>
      <c r="T46" s="590"/>
      <c r="U46" s="590"/>
      <c r="V46" s="590"/>
      <c r="W46" s="590"/>
      <c r="X46" s="590"/>
      <c r="Y46" s="590"/>
      <c r="Z46" s="590"/>
      <c r="AA46" s="590"/>
      <c r="AB46" s="590"/>
      <c r="AC46" s="590"/>
      <c r="AD46" s="590"/>
      <c r="AE46" s="590"/>
      <c r="AF46" s="590"/>
      <c r="AG46" s="590"/>
      <c r="AH46" s="590"/>
      <c r="AI46" s="590"/>
      <c r="AJ46" s="590"/>
      <c r="AK46" s="590"/>
      <c r="AL46" s="590"/>
      <c r="AM46" s="590"/>
      <c r="AN46" s="175"/>
      <c r="AO46" s="175"/>
      <c r="AP46" s="175"/>
      <c r="AQ46" s="175"/>
      <c r="AR46" s="175"/>
      <c r="AS46" s="175"/>
      <c r="AT46" s="175"/>
      <c r="AU46" s="175"/>
      <c r="AV46" s="594">
        <f>+BE46</f>
        <v>0</v>
      </c>
      <c r="AW46" s="594"/>
      <c r="AX46" s="595"/>
      <c r="AZ46" s="157">
        <f>+Y40+AH40+Feb!AZ44</f>
        <v>0</v>
      </c>
      <c r="BA46" s="157"/>
      <c r="BB46" s="141">
        <f>FLOOR(AZ46,1)</f>
        <v>0</v>
      </c>
      <c r="BC46" s="141">
        <f>+AZ46-BB46</f>
        <v>0</v>
      </c>
      <c r="BD46" s="141">
        <f>+BC46/100*60</f>
        <v>0</v>
      </c>
      <c r="BE46" s="162">
        <f>+BD46+BB46</f>
        <v>0</v>
      </c>
    </row>
  </sheetData>
  <sheetProtection sheet="1" objects="1" scenarios="1"/>
  <mergeCells count="59">
    <mergeCell ref="H1:AZ1"/>
    <mergeCell ref="Q37:T37"/>
    <mergeCell ref="Q36:T36"/>
    <mergeCell ref="S43:AM43"/>
    <mergeCell ref="Q40:T40"/>
    <mergeCell ref="H43:R43"/>
    <mergeCell ref="AV42:AX42"/>
    <mergeCell ref="S41:AM41"/>
    <mergeCell ref="Q38:T38"/>
    <mergeCell ref="Q39:T39"/>
    <mergeCell ref="Q23:T23"/>
    <mergeCell ref="Q24:T24"/>
    <mergeCell ref="S42:AM42"/>
    <mergeCell ref="Q32:T32"/>
    <mergeCell ref="Q33:T33"/>
    <mergeCell ref="Q34:T34"/>
    <mergeCell ref="Q35:T35"/>
    <mergeCell ref="Q29:T29"/>
    <mergeCell ref="Q30:T30"/>
    <mergeCell ref="Q31:T31"/>
    <mergeCell ref="H3:K3"/>
    <mergeCell ref="L3:S3"/>
    <mergeCell ref="H41:L41"/>
    <mergeCell ref="J40:K40"/>
    <mergeCell ref="L5:S5"/>
    <mergeCell ref="Q7:T7"/>
    <mergeCell ref="Q13:T13"/>
    <mergeCell ref="Q14:T14"/>
    <mergeCell ref="Q9:T9"/>
    <mergeCell ref="Q21:T21"/>
    <mergeCell ref="Q22:T22"/>
    <mergeCell ref="Q19:T19"/>
    <mergeCell ref="Q27:T27"/>
    <mergeCell ref="Q28:T28"/>
    <mergeCell ref="Q20:T20"/>
    <mergeCell ref="Q25:T25"/>
    <mergeCell ref="H4:K4"/>
    <mergeCell ref="Q16:T16"/>
    <mergeCell ref="AX4:AY4"/>
    <mergeCell ref="AX5:AY5"/>
    <mergeCell ref="U5:AV5"/>
    <mergeCell ref="Q15:T15"/>
    <mergeCell ref="H5:K5"/>
    <mergeCell ref="AX3:AY3"/>
    <mergeCell ref="S46:AM46"/>
    <mergeCell ref="AV46:AX46"/>
    <mergeCell ref="S44:AM44"/>
    <mergeCell ref="U3:AV3"/>
    <mergeCell ref="L4:S4"/>
    <mergeCell ref="U6:AD6"/>
    <mergeCell ref="Q10:T10"/>
    <mergeCell ref="Q11:T11"/>
    <mergeCell ref="Q12:T12"/>
    <mergeCell ref="AV44:AX44"/>
    <mergeCell ref="AV41:AX41"/>
    <mergeCell ref="AV43:AX43"/>
    <mergeCell ref="Q17:T17"/>
    <mergeCell ref="Q18:T18"/>
    <mergeCell ref="Q26:T26"/>
  </mergeCells>
  <phoneticPr fontId="0" type="noConversion"/>
  <conditionalFormatting sqref="H9:H39">
    <cfRule type="expression" dxfId="97" priority="10" stopIfTrue="1">
      <formula>IF(WEEKDAY($I9,2)&gt;5,1,0)</formula>
    </cfRule>
    <cfRule type="expression" dxfId="96" priority="11" stopIfTrue="1">
      <formula>IF($I9=TODAY(),1,0)</formula>
    </cfRule>
  </conditionalFormatting>
  <conditionalFormatting sqref="Q9:T39 BC9:BE39 BA9:BB38 AZ9:AZ39 J9:K15 J21:K22 J28:K29 J35:K36 J38:K39">
    <cfRule type="expression" dxfId="95" priority="12" stopIfTrue="1">
      <formula>IF(WEEKDAY($B9,2)&lt;6,1,0)</formula>
    </cfRule>
  </conditionalFormatting>
  <conditionalFormatting sqref="V9:X39 BB39:BB44 AE8:AG39 Z40:AC40 AI40:AL40 AU13 AN9:AP39 AR40:AU40 BB46:BE46 BC41:BE44 BI9:BK39 M40:P40 L9:P15 L21:P22 L28:P29 L35:P36 L38:P39">
    <cfRule type="cellIs" dxfId="94" priority="13" stopIfTrue="1" operator="lessThan">
      <formula>0</formula>
    </cfRule>
  </conditionalFormatting>
  <conditionalFormatting sqref="B9:B39 G9:G39">
    <cfRule type="expression" dxfId="93" priority="14" stopIfTrue="1">
      <formula>IF(B9=MAX($B$8:B8),1,0)</formula>
    </cfRule>
  </conditionalFormatting>
  <conditionalFormatting sqref="J16:K20">
    <cfRule type="expression" dxfId="92" priority="8" stopIfTrue="1">
      <formula>IF(WEEKDAY($B16,2)&lt;6,1,0)</formula>
    </cfRule>
  </conditionalFormatting>
  <conditionalFormatting sqref="L16:P20">
    <cfRule type="cellIs" dxfId="91" priority="9" stopIfTrue="1" operator="lessThan">
      <formula>0</formula>
    </cfRule>
  </conditionalFormatting>
  <conditionalFormatting sqref="J23:K25 J27:K27 J26">
    <cfRule type="expression" dxfId="90" priority="6" stopIfTrue="1">
      <formula>IF(WEEKDAY($B23,2)&lt;6,1,0)</formula>
    </cfRule>
  </conditionalFormatting>
  <conditionalFormatting sqref="L23:P27">
    <cfRule type="cellIs" dxfId="89" priority="7" stopIfTrue="1" operator="lessThan">
      <formula>0</formula>
    </cfRule>
  </conditionalFormatting>
  <conditionalFormatting sqref="J30:K34">
    <cfRule type="expression" dxfId="88" priority="4" stopIfTrue="1">
      <formula>IF(WEEKDAY($B30,2)&lt;6,1,0)</formula>
    </cfRule>
  </conditionalFormatting>
  <conditionalFormatting sqref="L30:P34">
    <cfRule type="cellIs" dxfId="87" priority="5" stopIfTrue="1" operator="lessThan">
      <formula>0</formula>
    </cfRule>
  </conditionalFormatting>
  <conditionalFormatting sqref="J37:K37">
    <cfRule type="expression" dxfId="86" priority="2" stopIfTrue="1">
      <formula>IF(WEEKDAY($B37,2)&lt;6,1,0)</formula>
    </cfRule>
  </conditionalFormatting>
  <conditionalFormatting sqref="L37:P37">
    <cfRule type="cellIs" dxfId="85" priority="3" stopIfTrue="1" operator="lessThan">
      <formula>0</formula>
    </cfRule>
  </conditionalFormatting>
  <conditionalFormatting sqref="K26">
    <cfRule type="expression" dxfId="84" priority="1" stopIfTrue="1">
      <formula>IF(WEEKDAY($B26,2)&lt;6,1,0)</formula>
    </cfRule>
  </conditionalFormatting>
  <printOptions horizontalCentered="1" verticalCentered="1"/>
  <pageMargins left="0.59055118110236227" right="0.19685039370078741" top="0.19685039370078741" bottom="0.59055118110236227" header="0.51181102362204722" footer="0.51181102362204722"/>
  <pageSetup paperSize="9" scale="110" orientation="portrait" horizont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Navngivne områder</vt:lpstr>
      </vt:variant>
      <vt:variant>
        <vt:i4>16</vt:i4>
      </vt:variant>
    </vt:vector>
  </HeadingPairs>
  <TitlesOfParts>
    <vt:vector size="31" baseType="lpstr">
      <vt:lpstr>Resume</vt:lpstr>
      <vt:lpstr>Vejledning</vt:lpstr>
      <vt:lpstr>Jan</vt:lpstr>
      <vt:lpstr>Feb</vt:lpstr>
      <vt:lpstr>Mar</vt:lpstr>
      <vt:lpstr>Apr</vt:lpstr>
      <vt:lpstr>Maj</vt:lpstr>
      <vt:lpstr>Jun</vt:lpstr>
      <vt:lpstr>Jul</vt:lpstr>
      <vt:lpstr>Aug</vt:lpstr>
      <vt:lpstr>Sep</vt:lpstr>
      <vt:lpstr>Okt</vt:lpstr>
      <vt:lpstr>Nov</vt:lpstr>
      <vt:lpstr>Dec</vt:lpstr>
      <vt:lpstr>Nøgletal</vt:lpstr>
      <vt:lpstr>Fredagsfrokost</vt:lpstr>
      <vt:lpstr>InputUge</vt:lpstr>
      <vt:lpstr>måned</vt:lpstr>
      <vt:lpstr>Apr!Udskriftsområde</vt:lpstr>
      <vt:lpstr>Aug!Udskriftsområde</vt:lpstr>
      <vt:lpstr>Dec!Udskriftsområde</vt:lpstr>
      <vt:lpstr>Feb!Udskriftsområde</vt:lpstr>
      <vt:lpstr>Jan!Udskriftsområde</vt:lpstr>
      <vt:lpstr>Jul!Udskriftsområde</vt:lpstr>
      <vt:lpstr>Jun!Udskriftsområde</vt:lpstr>
      <vt:lpstr>Maj!Udskriftsområde</vt:lpstr>
      <vt:lpstr>Mar!Udskriftsområde</vt:lpstr>
      <vt:lpstr>Nov!Udskriftsområde</vt:lpstr>
      <vt:lpstr>Okt!Udskriftsområde</vt:lpstr>
      <vt:lpstr>Resume!Udskriftsområde</vt:lpstr>
      <vt:lpstr>Sep!Udskriftsområde</vt:lpstr>
    </vt:vector>
  </TitlesOfParts>
  <Company>Lejre Kommune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Anette Perós</dc:creator>
  <cp:lastModifiedBy>Windows User</cp:lastModifiedBy>
  <cp:lastPrinted>2009-12-21T14:53:45Z</cp:lastPrinted>
  <dcterms:created xsi:type="dcterms:W3CDTF">2000-08-08T08:10:03Z</dcterms:created>
  <dcterms:modified xsi:type="dcterms:W3CDTF">2014-07-11T10:29:45Z</dcterms:modified>
</cp:coreProperties>
</file>